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DyiSdsS4bkuu7grf4xykqmTAiTbhLgfGcLeEDSqrnaIv0BAe2qe8oTk4p0f1QhLzTjio2W0sodPTLPkxZan4Q==" workbookSaltValue="gfxF/Ux4HDZpEOHYUGGW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C11" i="11" s="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C11" i="6" s="1"/>
  <c r="I12" i="2"/>
  <c r="C10" i="2"/>
  <c r="D10" i="2" s="1"/>
  <c r="C11" i="2"/>
  <c r="D11" i="2" s="1"/>
  <c r="C12" i="2"/>
  <c r="D12" i="2" s="1"/>
  <c r="G9" i="2"/>
  <c r="G10" i="2"/>
  <c r="C10" i="6" s="1"/>
  <c r="G11" i="2"/>
  <c r="G12" i="2"/>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BG15" i="8" s="1"/>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EQ19" i="8"/>
  <c r="AP12" i="11"/>
  <c r="B9" i="6"/>
  <c r="Y11" i="11"/>
  <c r="AT18" i="17"/>
  <c r="N10" i="11"/>
  <c r="N9" i="11"/>
  <c r="T10" i="21"/>
  <c r="F10" i="10"/>
  <c r="N11" i="11"/>
  <c r="ES19" i="8"/>
  <c r="C18" i="7"/>
  <c r="S19" i="13"/>
  <c r="AG19" i="19"/>
  <c r="F9" i="11"/>
  <c r="R8" i="9"/>
  <c r="X12" i="21" s="1"/>
  <c r="CI19" i="8"/>
  <c r="AE19" i="8"/>
  <c r="F17" i="16"/>
  <c r="BL17" i="16" s="1"/>
  <c r="EP19" i="8"/>
  <c r="ER19" i="13"/>
  <c r="AL13" i="16"/>
  <c r="BH17" i="16"/>
  <c r="BG10" i="11"/>
  <c r="BM16" i="11"/>
  <c r="P17" i="17"/>
  <c r="BL17" i="11"/>
  <c r="BK12" i="11"/>
  <c r="BF10" i="11"/>
  <c r="BK9" i="11"/>
  <c r="R12" i="14"/>
  <c r="S13" i="16"/>
  <c r="V12" i="21"/>
  <c r="H18" i="16"/>
  <c r="P13" i="16"/>
  <c r="AN13" i="20"/>
  <c r="F15" i="17"/>
  <c r="Z13" i="17"/>
  <c r="AO17" i="11"/>
  <c r="M13" i="2"/>
  <c r="N13" i="2"/>
  <c r="AO9" i="11"/>
  <c r="AC10" i="11"/>
  <c r="H13" i="12"/>
  <c r="T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D12" i="8"/>
  <c r="BD9" i="8"/>
  <c r="BA13" i="8"/>
  <c r="X12" i="17"/>
  <c r="AV18" i="17"/>
  <c r="J18" i="17"/>
  <c r="L12" i="2"/>
  <c r="U9" i="17"/>
  <c r="U19" i="17" s="1"/>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C17" i="6"/>
  <c r="E18" i="2"/>
  <c r="F18" i="2" s="1"/>
  <c r="AL15" i="11"/>
  <c r="AJ19" i="8"/>
  <c r="Y19" i="8"/>
  <c r="F15" i="11"/>
  <c r="BD15" i="8"/>
  <c r="H15" i="7" s="1"/>
  <c r="BE15" i="8"/>
  <c r="AW18" i="21"/>
  <c r="H12" i="2"/>
  <c r="AB19" i="8"/>
  <c r="AH13" i="16"/>
  <c r="BF11" i="8"/>
  <c r="BD11" i="8"/>
  <c r="BE11" i="8"/>
  <c r="I11" i="12" s="1"/>
  <c r="E11" i="6"/>
  <c r="BG10" i="8"/>
  <c r="BE9" i="8"/>
  <c r="BF9" i="8"/>
  <c r="Z19" i="8"/>
  <c r="BG9" i="8"/>
  <c r="K9" i="7" s="1"/>
  <c r="AO12" i="17"/>
  <c r="AO12" i="11"/>
  <c r="H15" i="2"/>
  <c r="AO16" i="11"/>
  <c r="AL10" i="11"/>
  <c r="H12" i="7"/>
  <c r="AO16" i="17"/>
  <c r="B12" i="6"/>
  <c r="L12" i="14"/>
  <c r="B17" i="6"/>
  <c r="E15" i="6"/>
  <c r="K15" i="12" s="1"/>
  <c r="B16" i="6"/>
  <c r="V15" i="11"/>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6"/>
  <c r="BH15" i="11"/>
  <c r="BJ17" i="11"/>
  <c r="BH9" i="16"/>
  <c r="AY13" i="13"/>
  <c r="BE9" i="13"/>
  <c r="BB13" i="13"/>
  <c r="D12" i="12"/>
  <c r="L11" i="14"/>
  <c r="F12" i="11"/>
  <c r="AQ12" i="11" s="1"/>
  <c r="AP16" i="20"/>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9" i="7" l="1"/>
  <c r="B19" i="7"/>
  <c r="B18" i="6"/>
  <c r="D19" i="12"/>
  <c r="I11" i="7"/>
  <c r="H13" i="2"/>
  <c r="K9"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<sst xmlns="http://schemas.openxmlformats.org/spreadsheetml/2006/main" count="2088" uniqueCount="917">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</sst>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iXvtgEbug2qlFOnlnqnKuyKvKT/Xwu/Kms9Bqx1os1YN6YzhT6YXnDjZEu/XwX9UfhEf1RTrZe6G8rrqmGmGA==" saltValue="JB2kHGkPIYh5KYZMNAnJ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18.196334155798379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82</v>
      </c>
      <c r="D10" s="224">
        <f>IF(ISNUMBER(Datos!I10),Datos!I10," - ")</f>
        <v>82</v>
      </c>
      <c r="E10" s="225">
        <f>IF(ISNUMBER(Datos!J10),Datos!J10," - ")</f>
        <v>36</v>
      </c>
      <c r="F10" s="225">
        <f>IF(ISNUMBER(Datos!K10),Datos!K10," - ")</f>
        <v>46</v>
      </c>
      <c r="G10" s="1033" t="str">
        <f>IF(Datos!E10&lt;&gt;"",Datos!E10,Datos!D10)</f>
        <v>37</v>
      </c>
      <c r="H10" s="226">
        <f>IF(ISNUMBER(Datos!L10),Datos!L10," - ")</f>
        <v>72</v>
      </c>
      <c r="I10" s="1043" t="str">
        <f>IF(ISNUMBER(Datos!AS10/Datos!BM10),Datos!AS10/Datos!BM10," - ")</f>
        <v xml:space="preserve"> - </v>
      </c>
      <c r="J10" s="1044">
        <f>IF(ISNUMBER(Datos!BY10/Datos!CN10),Datos!BY10/Datos!CN10," - ")</f>
        <v>0</v>
      </c>
      <c r="K10" s="229">
        <f t="shared" ref="K10:K12" si="1">IF(ISNUMBER((E10-F10)/C10),(E10-F10)/C10," - ")</f>
        <v>-0.12195121951219512</v>
      </c>
      <c r="L10" s="1024">
        <f>IF(ISNUMBER(NºAsuntos!I10/NºAsuntos!G10),(NºAsuntos!I10/NºAsuntos!G10)*11," - ")</f>
        <v>17.217391304347828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8.8000000000000007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82</v>
      </c>
      <c r="D13" s="1048">
        <f>SUBTOTAL(9,D9:D12)</f>
        <v>82</v>
      </c>
      <c r="E13" s="1049">
        <f>SUBTOTAL(9,E9:E12)</f>
        <v>36</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2538</v>
      </c>
      <c r="D15" s="224">
        <f>IF(ISNUMBER(IF(D_I="SI",Datos!I15,Datos!I15+Datos!AC15)),IF(D_I="SI",Datos!I15,Datos!I15+Datos!AC15)," - ")</f>
        <v>2485</v>
      </c>
      <c r="E15" s="225">
        <f>IF(ISNUMBER(IF(D_I="SI",Datos!J15,Datos!J15+Datos!AD15)),IF(D_I="SI",Datos!J15,Datos!J15+Datos!AD15)," - ")</f>
        <v>3116</v>
      </c>
      <c r="F15" s="225">
        <f>IF(ISNUMBER(IF(D_I="SI",Datos!K15,Datos!K15+Datos!AE15)),IF(D_I="SI",Datos!K15,Datos!K15+Datos!AE15)," - ")</f>
        <v>3085</v>
      </c>
      <c r="G15" s="1033" t="str">
        <f>IF(Datos!E15&lt;&gt;"",Datos!E15,Datos!D15)</f>
        <v>03</v>
      </c>
      <c r="H15" s="226">
        <f>IF(ISNUMBER(IF(D_I="SI",Datos!L15,Datos!L15+Datos!AF15)),IF(D_I="SI",Datos!L15,Datos!L15+Datos!AF15)," - ")</f>
        <v>2569</v>
      </c>
      <c r="I15" s="1043" t="str">
        <f>IF(ISNUMBER(Datos!AS15/Datos!BM15),Datos!AS15/Datos!BM15," - ")</f>
        <v xml:space="preserve"> - </v>
      </c>
      <c r="J15" s="1044">
        <f>IF(ISNUMBER(Datos!BY15/Datos!CN15),Datos!BY15/Datos!CN15," - ")</f>
        <v>0</v>
      </c>
      <c r="K15" s="229">
        <f t="shared" ref="K15:K17" si="3">IF(ISNUMBER((E15-F15)/C15),(E15-F15)/C15," - ")</f>
        <v>1.2214342001576044E-2</v>
      </c>
      <c r="L15" s="1024">
        <f>IF(ISNUMBER(NºAsuntos!I15/NºAsuntos!G15),(NºAsuntos!I15/NºAsuntos!G15)*11," - ")</f>
        <v>9.1601296596434363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157</v>
      </c>
      <c r="D17" s="224">
        <f>IF(ISNUMBER(IF(D_I="SI",Datos!I17,Datos!I17+Datos!AC17)),IF(D_I="SI",Datos!I17,Datos!I17+Datos!AC17)," - ")</f>
        <v>157</v>
      </c>
      <c r="E17" s="225">
        <f>IF(ISNUMBER(IF(D_I="SI",Datos!J17,Datos!J17+Datos!AD17)),IF(D_I="SI",Datos!J17,Datos!J17+Datos!AD17)," - ")</f>
        <v>352</v>
      </c>
      <c r="F17" s="225">
        <f>IF(ISNUMBER(IF(D_I="SI",Datos!K17,Datos!K17+Datos!AE17)),IF(D_I="SI",Datos!K17,Datos!K17+Datos!AE17)," - ")</f>
        <v>323</v>
      </c>
      <c r="G17" s="1033" t="str">
        <f>IF(Datos!E17&lt;&gt;"",Datos!E17,Datos!D17)</f>
        <v>37</v>
      </c>
      <c r="H17" s="226">
        <f>IF(ISNUMBER(IF(D_I="SI",Datos!L17,Datos!L17+Datos!AF17)),IF(D_I="SI",Datos!L17,Datos!L17+Datos!AF17)," - ")</f>
        <v>186</v>
      </c>
      <c r="I17" s="1043" t="str">
        <f>IF(ISNUMBER(Datos!AS17/Datos!BM17),Datos!AS17/Datos!BM17," - ")</f>
        <v xml:space="preserve"> - </v>
      </c>
      <c r="J17" s="1044" t="str">
        <f>IF(ISNUMBER((Datos!BY17+Datos!BZ17)/Datos!CN17),(Datos!BY17+Datos!BZ17)/Datos!CN17," - ")</f>
        <v xml:space="preserve"> - </v>
      </c>
      <c r="K17" s="229">
        <f t="shared" si="3"/>
        <v>0.18471337579617833</v>
      </c>
      <c r="L17" s="1024">
        <f>IF(ISNUMBER(NºAsuntos!I17/NºAsuntos!G17),(NºAsuntos!I17/NºAsuntos!G17)*11," - ")</f>
        <v>6.3343653250773997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2695</v>
      </c>
      <c r="D18" s="1048">
        <f>SUBTOTAL(9,D15:D17)</f>
        <v>2642</v>
      </c>
      <c r="E18" s="1049">
        <f>SUBTOTAL(9,E15:E17)</f>
        <v>3468</v>
      </c>
      <c r="F18" s="1049">
        <f>SUBTOTAL(9,F15:F17)</f>
        <v>3408</v>
      </c>
      <c r="G18" s="1051" t="str">
        <f ca="1">INDIRECT(CONCATENATE("G",ROW()-1))</f>
        <v>37</v>
      </c>
      <c r="H18" s="1052">
        <f ca="1">SUMIF(G$14:G17,G18,H$14:H17)</f>
        <v>186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2777</v>
      </c>
      <c r="D19" s="1070">
        <f>SUBTOTAL(9,D9:D18)</f>
        <v>2724</v>
      </c>
      <c r="E19" s="1071">
        <f>SUBTOTAL(9,E9:E18)</f>
        <v>3504</v>
      </c>
      <c r="F19" s="1071">
        <f>SUBTOTAL(9,F9:F18)</f>
        <v>3454</v>
      </c>
      <c r="G19" s="1072"/>
      <c r="H19" s="1073">
        <f ca="1">SUMIF(B9:B18,"TOTAL",H9:H18)</f>
        <v>186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nkUoPWGrg870fdJsSYd7ofTxmXKEN6iesghtVbUYSyjJqg7NSEraF7aXYD0kT2aNMoVCh5Ns9n6b7rUC8ZWGA==" saltValue="y8YsqZcqY6SMXY9WrcNim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fEv7qlBqIzj//HaZW+aF5DCKeSnuO+Sv4p5eslYIvHBbCXQ7SVrB59VDnZjwCjGr407q+BJGLjvNeFdAd22qA==" saltValue="fmXQYdGxjYJ/tYdTHBuk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5057</v>
      </c>
      <c r="J9" s="180">
        <v>1780</v>
      </c>
      <c r="K9" s="180">
        <v>2430</v>
      </c>
      <c r="L9" s="180">
        <v>4310</v>
      </c>
      <c r="M9" s="180">
        <v>933</v>
      </c>
      <c r="N9" s="180">
        <v>891</v>
      </c>
      <c r="O9" s="180">
        <v>1516</v>
      </c>
      <c r="P9" s="180">
        <v>1221</v>
      </c>
      <c r="Q9" s="180">
        <v>1305</v>
      </c>
      <c r="R9" s="180">
        <v>11640</v>
      </c>
      <c r="S9" s="180">
        <v>5538</v>
      </c>
      <c r="T9" s="180">
        <v>3193</v>
      </c>
      <c r="U9" s="180">
        <v>2939</v>
      </c>
      <c r="V9" s="180">
        <v>5778</v>
      </c>
      <c r="W9" s="180">
        <v>1071</v>
      </c>
      <c r="X9" s="187">
        <v>899</v>
      </c>
      <c r="Y9" s="190">
        <v>311</v>
      </c>
      <c r="Z9" s="180">
        <v>480</v>
      </c>
      <c r="AA9" s="180">
        <v>407</v>
      </c>
      <c r="AB9" s="180">
        <v>383</v>
      </c>
      <c r="AC9" s="180">
        <v>0</v>
      </c>
      <c r="AD9" s="180">
        <v>0</v>
      </c>
      <c r="AE9" s="180">
        <v>0</v>
      </c>
      <c r="AF9" s="187">
        <v>0</v>
      </c>
      <c r="AG9" s="190">
        <v>154</v>
      </c>
      <c r="AH9" s="180">
        <v>136</v>
      </c>
      <c r="AI9" s="180">
        <v>127</v>
      </c>
      <c r="AJ9" s="191">
        <v>163</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5692</v>
      </c>
      <c r="AZ9" s="123">
        <f>IF(ISNUMBER(IF(J_V="SI",T9,T9+AH9)),IF(J_V="SI",T9,T9+AH9)," - ")</f>
        <v>3329</v>
      </c>
      <c r="BA9" s="124">
        <f>IF(ISNUMBER(IF(J_V="SI",U9,U9+AI9)),IF(J_V="SI",U9,U9+AI9)," - ")</f>
        <v>3066</v>
      </c>
      <c r="BB9" s="124">
        <f>IF(ISNUMBER(IF(J_V="SI",V9,V9+AJ9)),IF(J_V="SI",V9,V9+AJ9)," - ")</f>
        <v>5941</v>
      </c>
      <c r="BC9" s="125">
        <f>IF(ISNUMBER(X9),X9," - ")</f>
        <v>899</v>
      </c>
      <c r="BD9" s="126">
        <f>IF(ISNUMBER(BA9/AZ9),BA9/AZ9," - ")</f>
        <v>0.92099729648543105</v>
      </c>
      <c r="BE9" s="127">
        <f>IF(ISNUMBER(BB9/BA9),BB9/BA9, " - ")</f>
        <v>1.9377038486627527</v>
      </c>
      <c r="BF9" s="127">
        <f>IF(ISNUMBER(BC9/BA9),BC9/BA9, " - ")</f>
        <v>0.29321591650358775</v>
      </c>
      <c r="BG9" s="195">
        <f>IF(ISNUMBER((AY9+AZ9)/BA9),(AY9+AZ9)/BA9," - ")</f>
        <v>2.9422700587084147</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82</v>
      </c>
      <c r="J10" s="180">
        <v>36</v>
      </c>
      <c r="K10" s="180">
        <v>46</v>
      </c>
      <c r="L10" s="180">
        <v>72</v>
      </c>
      <c r="M10" s="180">
        <v>14</v>
      </c>
      <c r="N10" s="180">
        <v>25</v>
      </c>
      <c r="O10" s="180">
        <v>7</v>
      </c>
      <c r="P10" s="180">
        <v>7</v>
      </c>
      <c r="Q10" s="180">
        <v>2</v>
      </c>
      <c r="R10" s="180">
        <v>47</v>
      </c>
      <c r="S10" s="180">
        <v>113</v>
      </c>
      <c r="T10" s="180">
        <v>39</v>
      </c>
      <c r="U10" s="180">
        <v>36</v>
      </c>
      <c r="V10" s="180">
        <v>116</v>
      </c>
      <c r="W10" s="180">
        <v>10</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113</v>
      </c>
      <c r="AZ10" s="129">
        <f t="shared" si="0"/>
        <v>39</v>
      </c>
      <c r="BA10" s="129">
        <f t="shared" si="0"/>
        <v>36</v>
      </c>
      <c r="BB10" s="129">
        <f t="shared" si="0"/>
        <v>116</v>
      </c>
      <c r="BC10" s="125">
        <f t="shared" si="0"/>
        <v>10</v>
      </c>
      <c r="BD10" s="126">
        <f>IF(ISNUMBER(BA10/AZ10),BA10/AZ10," - ")</f>
        <v>0.92307692307692313</v>
      </c>
      <c r="BE10" s="127">
        <f>IF(ISNUMBER(BB10/BA10),BB10/BA10, " - ")</f>
        <v>3.2222222222222223</v>
      </c>
      <c r="BF10" s="127">
        <f>IF(ISNUMBER(BC10/BA10),BC10/BA10, " - ")</f>
        <v>0.27777777777777779</v>
      </c>
      <c r="BG10" s="195">
        <f>IF(ISNUMBER((AY10+AZ10)/BA10),(AY10+AZ10)/BA10," - ")</f>
        <v>4.2222222222222223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268</v>
      </c>
      <c r="J11" s="182">
        <v>222</v>
      </c>
      <c r="K11" s="182">
        <v>213</v>
      </c>
      <c r="L11" s="182">
        <v>277</v>
      </c>
      <c r="M11" s="182">
        <v>92</v>
      </c>
      <c r="N11" s="182">
        <v>291</v>
      </c>
      <c r="O11" s="180">
        <v>108</v>
      </c>
      <c r="P11" s="182">
        <v>28</v>
      </c>
      <c r="Q11" s="182">
        <v>35</v>
      </c>
      <c r="R11" s="182">
        <v>311</v>
      </c>
      <c r="S11" s="182">
        <v>357</v>
      </c>
      <c r="T11" s="182">
        <v>225</v>
      </c>
      <c r="U11" s="182">
        <v>221</v>
      </c>
      <c r="V11" s="182">
        <v>361</v>
      </c>
      <c r="W11" s="182">
        <v>98</v>
      </c>
      <c r="X11" s="188">
        <v>375</v>
      </c>
      <c r="Y11" s="190">
        <v>60</v>
      </c>
      <c r="Z11" s="180">
        <v>242</v>
      </c>
      <c r="AA11" s="180">
        <v>227</v>
      </c>
      <c r="AB11" s="180">
        <v>75</v>
      </c>
      <c r="AC11" s="182">
        <v>0</v>
      </c>
      <c r="AD11" s="182">
        <v>0</v>
      </c>
      <c r="AE11" s="182">
        <v>0</v>
      </c>
      <c r="AF11" s="188">
        <v>0</v>
      </c>
      <c r="AG11" s="201">
        <v>95</v>
      </c>
      <c r="AH11" s="182">
        <v>248</v>
      </c>
      <c r="AI11" s="182">
        <v>246</v>
      </c>
      <c r="AJ11" s="202">
        <v>97</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452</v>
      </c>
      <c r="AZ11" s="127">
        <f t="shared" si="1"/>
        <v>473</v>
      </c>
      <c r="BA11" s="127">
        <f t="shared" si="1"/>
        <v>467</v>
      </c>
      <c r="BB11" s="127">
        <f t="shared" si="1"/>
        <v>458</v>
      </c>
      <c r="BC11" s="125">
        <f>IF(ISNUMBER(X11),X11," - ")</f>
        <v>375</v>
      </c>
      <c r="BD11" s="126">
        <f t="shared" ref="BD11:BD12" si="2">IF(ISNUMBER(BA11/AZ11),BA11/AZ11," - ")</f>
        <v>0.98731501057082449</v>
      </c>
      <c r="BE11" s="127">
        <f t="shared" ref="BE11:BE12" si="3">IF(ISNUMBER(BB11/BA11),BB11/BA11, " - ")</f>
        <v>0.98072805139186292</v>
      </c>
      <c r="BF11" s="127">
        <f t="shared" ref="BF11:BF12" si="4">IF(ISNUMBER(BC11/BA11),BC11/BA11, " - ")</f>
        <v>0.80299785867237683</v>
      </c>
      <c r="BG11" s="195">
        <f t="shared" ref="BG11:BG12" si="5">IF(ISNUMBER((AY11+AZ11)/BA11),(AY11+AZ11)/BA11," - ")</f>
        <v>1.980728051391863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5407</v>
      </c>
      <c r="J13" s="183">
        <f t="shared" si="6"/>
        <v>2038</v>
      </c>
      <c r="K13" s="183">
        <f t="shared" si="6"/>
        <v>2689</v>
      </c>
      <c r="L13" s="183">
        <f t="shared" si="6"/>
        <v>4659</v>
      </c>
      <c r="M13" s="183">
        <f t="shared" si="6"/>
        <v>1039</v>
      </c>
      <c r="N13" s="183">
        <f t="shared" si="6"/>
        <v>1207</v>
      </c>
      <c r="O13" s="183">
        <f t="shared" si="6"/>
        <v>1631</v>
      </c>
      <c r="P13" s="183">
        <f t="shared" si="6"/>
        <v>1256</v>
      </c>
      <c r="Q13" s="183">
        <f t="shared" si="6"/>
        <v>1342</v>
      </c>
      <c r="R13" s="183">
        <f t="shared" si="6"/>
        <v>11998</v>
      </c>
      <c r="S13" s="183">
        <f t="shared" si="6"/>
        <v>6008</v>
      </c>
      <c r="T13" s="183">
        <f t="shared" si="6"/>
        <v>3457</v>
      </c>
      <c r="U13" s="183">
        <f t="shared" si="6"/>
        <v>3196</v>
      </c>
      <c r="V13" s="183">
        <f t="shared" si="6"/>
        <v>6255</v>
      </c>
      <c r="W13" s="183">
        <f t="shared" si="6"/>
        <v>1179</v>
      </c>
      <c r="X13" s="183">
        <f t="shared" si="6"/>
        <v>1288</v>
      </c>
      <c r="Y13" s="183">
        <f t="shared" si="6"/>
        <v>371</v>
      </c>
      <c r="Z13" s="183">
        <f t="shared" si="6"/>
        <v>722</v>
      </c>
      <c r="AA13" s="183">
        <f t="shared" si="6"/>
        <v>634</v>
      </c>
      <c r="AB13" s="183">
        <f t="shared" si="6"/>
        <v>458</v>
      </c>
      <c r="AC13" s="183">
        <f t="shared" si="6"/>
        <v>0</v>
      </c>
      <c r="AD13" s="183">
        <f t="shared" si="6"/>
        <v>0</v>
      </c>
      <c r="AE13" s="183">
        <f t="shared" si="6"/>
        <v>0</v>
      </c>
      <c r="AF13" s="183">
        <f>SUBTOTAL(9,AF9:AF12)</f>
        <v>0</v>
      </c>
      <c r="AG13" s="183">
        <f t="shared" ref="AG13:AT13" si="7">SUBTOTAL(9,AG8:AG12)</f>
        <v>249</v>
      </c>
      <c r="AH13" s="183">
        <f t="shared" si="7"/>
        <v>384</v>
      </c>
      <c r="AI13" s="183">
        <f t="shared" si="7"/>
        <v>373</v>
      </c>
      <c r="AJ13" s="183">
        <f t="shared" si="7"/>
        <v>260</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6257</v>
      </c>
      <c r="AZ13" s="183">
        <f>SUBTOTAL(9,AZ8:AZ12)</f>
        <v>3841</v>
      </c>
      <c r="BA13" s="183">
        <f>SUBTOTAL(9,BA8:BA12)</f>
        <v>3569</v>
      </c>
      <c r="BB13" s="183">
        <f>SUBTOTAL(9,BB8:BB12)</f>
        <v>6515</v>
      </c>
      <c r="BC13" s="183">
        <f>SUBTOTAL(9,BC8:BC12)</f>
        <v>1284</v>
      </c>
      <c r="BD13" s="204">
        <f>IF(ISNUMBER(BA13/AZ13),BA13/AZ13," - ")</f>
        <v>0.92918510804478005</v>
      </c>
      <c r="BE13" s="205">
        <f>IF(ISNUMBER(BB13/BA13),BB13/BA13, " - ")</f>
        <v>1.8254413000840573</v>
      </c>
      <c r="BF13" s="205">
        <f>IF(ISNUMBER(BC13/BA13),BC13/BA13, " - ")</f>
        <v>0.3597646399551695</v>
      </c>
      <c r="BG13" s="206">
        <f>IF(ISNUMBER((AY13+AZ13)/BA13),(AY13+AZ13)/BA13," - ")</f>
        <v>2.8293639674978985</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2485</v>
      </c>
      <c r="J15" s="182">
        <v>3116</v>
      </c>
      <c r="K15" s="182">
        <v>3085</v>
      </c>
      <c r="L15" s="182">
        <v>2569</v>
      </c>
      <c r="M15" s="182">
        <v>362</v>
      </c>
      <c r="N15" s="182">
        <v>2091</v>
      </c>
      <c r="O15" s="180">
        <v>72</v>
      </c>
      <c r="P15" s="182">
        <v>120</v>
      </c>
      <c r="Q15" s="182">
        <v>107</v>
      </c>
      <c r="R15" s="182">
        <v>732</v>
      </c>
      <c r="S15" s="182">
        <v>2805</v>
      </c>
      <c r="T15" s="182">
        <v>2999</v>
      </c>
      <c r="U15" s="182">
        <v>2865</v>
      </c>
      <c r="V15" s="182">
        <v>2962</v>
      </c>
      <c r="W15" s="182">
        <v>360</v>
      </c>
      <c r="X15" s="188">
        <v>1896</v>
      </c>
      <c r="Y15" s="201">
        <v>0</v>
      </c>
      <c r="Z15" s="182">
        <v>0</v>
      </c>
      <c r="AA15" s="182">
        <v>0</v>
      </c>
      <c r="AB15" s="182">
        <v>0</v>
      </c>
      <c r="AC15" s="182">
        <v>0</v>
      </c>
      <c r="AD15" s="182">
        <v>18</v>
      </c>
      <c r="AE15" s="182">
        <v>18</v>
      </c>
      <c r="AF15" s="188">
        <v>0</v>
      </c>
      <c r="AG15" s="201">
        <v>0</v>
      </c>
      <c r="AH15" s="182">
        <v>0</v>
      </c>
      <c r="AI15" s="182">
        <v>0</v>
      </c>
      <c r="AJ15" s="202">
        <v>0</v>
      </c>
      <c r="AK15" s="181">
        <v>0</v>
      </c>
      <c r="AL15" s="182">
        <v>12</v>
      </c>
      <c r="AM15" s="182">
        <v>12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2805</v>
      </c>
      <c r="AZ15" s="129">
        <f t="shared" si="9"/>
        <v>2999</v>
      </c>
      <c r="BA15" s="129">
        <f t="shared" si="9"/>
        <v>2865</v>
      </c>
      <c r="BB15" s="129">
        <f t="shared" si="9"/>
        <v>2962</v>
      </c>
      <c r="BC15" s="125">
        <f>IF(ISNUMBER(W15),W15," - ")</f>
        <v>360</v>
      </c>
      <c r="BD15" s="126">
        <f>IF(ISNUMBER(BA15/AZ15),BA15/AZ15," - ")</f>
        <v>0.95531843947982664</v>
      </c>
      <c r="BE15" s="127">
        <f>IF(ISNUMBER(BB15/BA15),BB15/BA15, " - ")</f>
        <v>1.0338568935427574</v>
      </c>
      <c r="BF15" s="127">
        <f>IF(ISNUMBER(BC15/BA15),BC15/BA15, " - ")</f>
        <v>0.1256544502617801</v>
      </c>
      <c r="BG15" s="195">
        <f t="shared" ref="BG15:BG16" si="10">IF(ISNUMBER((AY15+AZ15)/BA15),(AY15+AZ15)/BA15," - ")</f>
        <v>2.0258289703315882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157</v>
      </c>
      <c r="J17" s="182">
        <v>352</v>
      </c>
      <c r="K17" s="182">
        <v>323</v>
      </c>
      <c r="L17" s="182">
        <v>186</v>
      </c>
      <c r="M17" s="182">
        <v>49</v>
      </c>
      <c r="N17" s="182">
        <v>128</v>
      </c>
      <c r="O17" s="182">
        <v>7</v>
      </c>
      <c r="P17" s="182">
        <v>5</v>
      </c>
      <c r="Q17" s="182">
        <v>7</v>
      </c>
      <c r="R17" s="182">
        <v>9</v>
      </c>
      <c r="S17" s="182">
        <v>176</v>
      </c>
      <c r="T17" s="182">
        <v>353</v>
      </c>
      <c r="U17" s="182">
        <v>338</v>
      </c>
      <c r="V17" s="182">
        <v>191</v>
      </c>
      <c r="W17" s="182">
        <v>53</v>
      </c>
      <c r="X17" s="188">
        <v>194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176</v>
      </c>
      <c r="AZ17" s="129">
        <f t="shared" si="14"/>
        <v>353</v>
      </c>
      <c r="BA17" s="129">
        <f t="shared" si="14"/>
        <v>338</v>
      </c>
      <c r="BB17" s="129">
        <f t="shared" si="14"/>
        <v>191</v>
      </c>
      <c r="BC17" s="125">
        <f>IF(ISNUMBER(W17),W17," - ")</f>
        <v>53</v>
      </c>
      <c r="BD17" s="126">
        <f>IF(ISNUMBER(BA17/AZ17),BA17/AZ17," - ")</f>
        <v>0.95750708215297453</v>
      </c>
      <c r="BE17" s="127">
        <f>IF(ISNUMBER(BB17/BA17),BB17/BA17, " - ")</f>
        <v>0.5650887573964497</v>
      </c>
      <c r="BF17" s="127">
        <f>IF(ISNUMBER(BC17/BA17),BC17/BA17, " - ")</f>
        <v>0.15680473372781065</v>
      </c>
      <c r="BG17" s="195">
        <f>IF(ISNUMBER((AY17+AZ17)/BA17),(AY17+AZ17)/BA17," - ")</f>
        <v>1.5650887573964498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2642</v>
      </c>
      <c r="J18" s="183">
        <f t="shared" si="15"/>
        <v>3468</v>
      </c>
      <c r="K18" s="183">
        <f t="shared" si="15"/>
        <v>3408</v>
      </c>
      <c r="L18" s="183">
        <f t="shared" si="15"/>
        <v>2755</v>
      </c>
      <c r="M18" s="183">
        <f t="shared" si="15"/>
        <v>411</v>
      </c>
      <c r="N18" s="183">
        <f t="shared" si="15"/>
        <v>2219</v>
      </c>
      <c r="O18" s="183">
        <f t="shared" si="15"/>
        <v>79</v>
      </c>
      <c r="P18" s="183">
        <f t="shared" si="15"/>
        <v>125</v>
      </c>
      <c r="Q18" s="183">
        <f t="shared" si="15"/>
        <v>114</v>
      </c>
      <c r="R18" s="183">
        <f t="shared" si="15"/>
        <v>741</v>
      </c>
      <c r="S18" s="183">
        <f t="shared" si="15"/>
        <v>2981</v>
      </c>
      <c r="T18" s="183">
        <f t="shared" si="15"/>
        <v>3352</v>
      </c>
      <c r="U18" s="183">
        <f t="shared" si="15"/>
        <v>3203</v>
      </c>
      <c r="V18" s="183">
        <f t="shared" si="15"/>
        <v>3153</v>
      </c>
      <c r="W18" s="183">
        <f t="shared" si="15"/>
        <v>413</v>
      </c>
      <c r="X18" s="183">
        <f t="shared" si="15"/>
        <v>2090</v>
      </c>
      <c r="Y18" s="183">
        <f t="shared" si="15"/>
        <v>0</v>
      </c>
      <c r="Z18" s="183">
        <f t="shared" si="15"/>
        <v>0</v>
      </c>
      <c r="AA18" s="183">
        <f t="shared" si="15"/>
        <v>0</v>
      </c>
      <c r="AB18" s="183">
        <f t="shared" si="15"/>
        <v>0</v>
      </c>
      <c r="AC18" s="183">
        <f t="shared" si="15"/>
        <v>0</v>
      </c>
      <c r="AD18" s="183">
        <f t="shared" si="15"/>
        <v>18</v>
      </c>
      <c r="AE18" s="183">
        <f t="shared" si="15"/>
        <v>18</v>
      </c>
      <c r="AF18" s="183">
        <f t="shared" si="15"/>
        <v>0</v>
      </c>
      <c r="AG18" s="183">
        <f t="shared" si="15"/>
        <v>0</v>
      </c>
      <c r="AH18" s="183">
        <f t="shared" si="15"/>
        <v>0</v>
      </c>
      <c r="AI18" s="183">
        <f t="shared" si="15"/>
        <v>0</v>
      </c>
      <c r="AJ18" s="183">
        <f t="shared" si="15"/>
        <v>0</v>
      </c>
      <c r="AK18" s="183">
        <f t="shared" si="15"/>
        <v>0</v>
      </c>
      <c r="AL18" s="183">
        <f t="shared" si="15"/>
        <v>12</v>
      </c>
      <c r="AM18" s="183">
        <f t="shared" si="15"/>
        <v>12</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2981</v>
      </c>
      <c r="AZ18" s="183">
        <f>SUBTOTAL(9,AZ14:AZ17)</f>
        <v>3352</v>
      </c>
      <c r="BA18" s="183">
        <f>SUBTOTAL(9,BA14:BA17)</f>
        <v>3203</v>
      </c>
      <c r="BB18" s="183">
        <f>SUBTOTAL(9,BB14:BB17)</f>
        <v>3153</v>
      </c>
      <c r="BC18" s="183">
        <f>SUBTOTAL(9,BC14:BC17)</f>
        <v>413</v>
      </c>
      <c r="BD18" s="204">
        <f>IF(ISNUMBER(BA18/AZ18),BA18/AZ18," - ")</f>
        <v>0.95554892601431984</v>
      </c>
      <c r="BE18" s="205">
        <f>IF(ISNUMBER(BB18/BA18),BB18/BA18, " - ")</f>
        <v>0.98438963471745233</v>
      </c>
      <c r="BF18" s="205">
        <f>IF(ISNUMBER(BC18/BA18),BC18/BA18, " - ")</f>
        <v>0.12894161723384326</v>
      </c>
      <c r="BG18" s="206">
        <f>IF(ISNUMBER((AY18+AZ18)/BA18),(AY18+AZ18)/BA18," - ")</f>
        <v>1.9772088666874805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8049</v>
      </c>
      <c r="J19" s="134">
        <f t="shared" si="18"/>
        <v>5506</v>
      </c>
      <c r="K19" s="134">
        <f t="shared" si="18"/>
        <v>6097</v>
      </c>
      <c r="L19" s="134">
        <f t="shared" si="18"/>
        <v>7414</v>
      </c>
      <c r="M19" s="134">
        <f t="shared" si="18"/>
        <v>1450</v>
      </c>
      <c r="N19" s="134">
        <f t="shared" si="18"/>
        <v>3426</v>
      </c>
      <c r="O19" s="134">
        <f t="shared" si="18"/>
        <v>1710</v>
      </c>
      <c r="P19" s="134">
        <f t="shared" si="18"/>
        <v>1381</v>
      </c>
      <c r="Q19" s="134">
        <f t="shared" si="18"/>
        <v>1456</v>
      </c>
      <c r="R19" s="134">
        <f t="shared" si="18"/>
        <v>12739</v>
      </c>
      <c r="S19" s="134">
        <f t="shared" si="18"/>
        <v>8989</v>
      </c>
      <c r="T19" s="134">
        <f t="shared" si="18"/>
        <v>6809</v>
      </c>
      <c r="U19" s="134">
        <f t="shared" si="18"/>
        <v>6399</v>
      </c>
      <c r="V19" s="134">
        <f t="shared" si="18"/>
        <v>9408</v>
      </c>
      <c r="W19" s="134">
        <f t="shared" si="18"/>
        <v>1592</v>
      </c>
      <c r="X19" s="134">
        <f t="shared" si="18"/>
        <v>3378</v>
      </c>
      <c r="Y19" s="134">
        <f t="shared" si="18"/>
        <v>371</v>
      </c>
      <c r="Z19" s="134">
        <f t="shared" si="18"/>
        <v>722</v>
      </c>
      <c r="AA19" s="134">
        <f t="shared" si="18"/>
        <v>634</v>
      </c>
      <c r="AB19" s="134">
        <f t="shared" si="18"/>
        <v>458</v>
      </c>
      <c r="AC19" s="134">
        <f t="shared" si="18"/>
        <v>0</v>
      </c>
      <c r="AD19" s="134">
        <f t="shared" si="18"/>
        <v>18</v>
      </c>
      <c r="AE19" s="134">
        <f t="shared" si="18"/>
        <v>18</v>
      </c>
      <c r="AF19" s="134">
        <f t="shared" si="18"/>
        <v>0</v>
      </c>
      <c r="AG19" s="134">
        <f t="shared" si="18"/>
        <v>249</v>
      </c>
      <c r="AH19" s="134">
        <f t="shared" si="18"/>
        <v>384</v>
      </c>
      <c r="AI19" s="134">
        <f t="shared" si="18"/>
        <v>373</v>
      </c>
      <c r="AJ19" s="134">
        <f t="shared" si="18"/>
        <v>260</v>
      </c>
      <c r="AK19" s="134">
        <f t="shared" si="18"/>
        <v>0</v>
      </c>
      <c r="AL19" s="134">
        <f t="shared" si="18"/>
        <v>12</v>
      </c>
      <c r="AM19" s="134">
        <f t="shared" si="18"/>
        <v>12</v>
      </c>
      <c r="AN19" s="209">
        <f t="shared" si="18"/>
        <v>0</v>
      </c>
      <c r="AO19" s="210">
        <v>17</v>
      </c>
      <c r="AP19" s="210">
        <v>17</v>
      </c>
      <c r="AQ19" s="210">
        <v>17</v>
      </c>
      <c r="AR19" s="210">
        <v>17</v>
      </c>
      <c r="AS19" s="152">
        <f t="shared" si="18"/>
        <v>0</v>
      </c>
      <c r="AT19" s="152">
        <f t="shared" si="18"/>
        <v>0</v>
      </c>
      <c r="AU19" s="210"/>
      <c r="AV19" s="211"/>
      <c r="AW19" s="210"/>
      <c r="AX19" s="211"/>
      <c r="AY19" s="133">
        <f>SUBTOTAL(9,AY9:AY18)</f>
        <v>9238</v>
      </c>
      <c r="AZ19" s="134">
        <f>SUBTOTAL(9,AZ9:AZ18)</f>
        <v>7193</v>
      </c>
      <c r="BA19" s="134">
        <f>SUBTOTAL(9,BA9:BA18)</f>
        <v>6772</v>
      </c>
      <c r="BB19" s="134">
        <f>SUBTOTAL(9,BB9:BB18)</f>
        <v>9668</v>
      </c>
      <c r="BC19" s="135">
        <f>SUBTOTAL(9,BC9:BC18)</f>
        <v>1697</v>
      </c>
      <c r="BD19" s="212">
        <f>IF(ISNUMBER(BA19/AZ19),BA19/AZ19," - ")</f>
        <v>0.94147087446128175</v>
      </c>
      <c r="BE19" s="209">
        <f>IF(ISNUMBER(BB19/BA19),BB19/BA19, " - ")</f>
        <v>1.427643236857649</v>
      </c>
      <c r="BF19" s="209">
        <f>IF(ISNUMBER(BC19/BA19),BC19/BA19, " - ")</f>
        <v>0.25059066745422326</v>
      </c>
      <c r="BG19" s="135">
        <f>IF(ISNUMBER((AY19+AZ19)/BA19),(AY19+AZ19)/BA19," - ")</f>
        <v>2.4263142350856466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7WiNDDIOW8nyl2RFjmMhaOrW5q2JzN3Xqlui+/fKzj+t25qXDzwVIJTOabr3WVpLvxYoP6ndHDlLx9UQdoDQ==" saltValue="+lys+LQu3EMFvbdmL4Hd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VYARTX45/tgPgKVfyb1wbedIIRilGLlYqEWUxlyuyjuxbsceTtxtx1FXOUwhF9NY/iqkqyIdZ3mbQJD2zGEzA==" saltValue="h8gjtzSuyFDliBGag7WV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480</v>
      </c>
      <c r="O9" s="333"/>
      <c r="P9" s="333"/>
      <c r="Q9" s="225">
        <f>IF(ISNUMBER(Datos!P9),Datos!P9,0)</f>
        <v>1221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1305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383</v>
      </c>
      <c r="AI9" s="333" t="str">
        <f>IF(ISNUMBER(Datos!CD9),Datos!CD9,"-")</f>
        <v>-</v>
      </c>
      <c r="AJ9" s="333" t="str">
        <f>IF(ISNUMBER(Datos!EN9),Datos!EN9," - ")</f>
        <v xml:space="preserve"> - </v>
      </c>
      <c r="AK9" s="333"/>
      <c r="AL9" s="478"/>
      <c r="AM9" s="334">
        <f>IF(ISNUMBER(Datos!R9),Datos!R9," - ")</f>
        <v>11640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933</v>
      </c>
      <c r="BD9" s="228">
        <f>IF(ISNUMBER(Datos!N9),Datos!N9," - ")</f>
        <v>891</v>
      </c>
      <c r="BE9" s="228" t="str">
        <f>IF(ISNUMBER(Datos!BW9),Datos!BW9," - ")</f>
        <v xml:space="preserve"> - </v>
      </c>
      <c r="BF9" s="227" t="str">
        <f>IF(ISNUMBER(Datos!BX9),Datos!BX9," - ")</f>
        <v xml:space="preserve"> - </v>
      </c>
      <c r="BG9" s="242">
        <f>IF(ISNUMBER(IF(J_V="SI",Datos!K9/Datos!J9,(Datos!K9+Datos!AA9)/(Datos!J9+Datos!Z9))),IF(J_V="SI",Datos!K9/Datos!J9,(Datos!K9+Datos!AA9)/(Datos!J9+Datos!Z9))," - ")</f>
        <v>1.2553097345132744</v>
      </c>
      <c r="BH9" s="259">
        <f>IF(ISNUMBER(((IF(J_V="SI",Datos!L9/Datos!K9,(Datos!L9+Datos!AB9)/(Datos!K9+Datos!AA9)))*11)/factor_trimestre),((IF(J_V="SI",Datos!L9/Datos!K9,(Datos!L9+Datos!AB9)/(Datos!K9+Datos!AA9)))*11)/factor_trimestre," - ")</f>
        <v>3.3084243919633418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-7.164790174002047E-3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82</v>
      </c>
      <c r="G10" s="332">
        <f>IF(ISNUMBER(Datos!I10),Datos!I10," - ")</f>
        <v>82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2</v>
      </c>
      <c r="AD10" s="333"/>
      <c r="AE10" s="483"/>
      <c r="AF10" s="331">
        <f>IF(ISNUMBER(Datos!L10),Datos!L10,"-")</f>
        <v>72</v>
      </c>
      <c r="AG10" s="333"/>
      <c r="AH10" s="333"/>
      <c r="AI10" s="333"/>
      <c r="AJ10" s="333"/>
      <c r="AK10" s="333"/>
      <c r="AL10" s="478"/>
      <c r="AM10" s="334">
        <f>IF(ISNUMBER(Datos!R10),Datos!R10," - ")</f>
        <v>47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25</v>
      </c>
      <c r="BE10" s="228" t="str">
        <f>IF(ISNUMBER(Datos!BW10),Datos!BW10," - ")</f>
        <v xml:space="preserve"> - </v>
      </c>
      <c r="BF10" s="227" t="str">
        <f>IF(ISNUMBER(Datos!BX10),Datos!BX10," - ")</f>
        <v xml:space="preserve"> - </v>
      </c>
      <c r="BG10" s="242">
        <f>IF(ISNUMBER(Datos!K10/Datos!J10),Datos!K10/Datos!J10," - ")</f>
        <v>1.2777777777777777</v>
      </c>
      <c r="BH10" s="259">
        <f>IF(ISNUMBER(((Datos!L10/Datos!K10)*11)/factor_trimestre),((Datos!L10/Datos!K10)*11)/factor_trimestre," - ")</f>
        <v>3.1304347826086958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0.11904761904761904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242</v>
      </c>
      <c r="O11" s="333"/>
      <c r="P11" s="333"/>
      <c r="Q11" s="225">
        <f>IF(ISNUMBER(Datos!P11),Datos!P11,0)</f>
        <v>28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35</v>
      </c>
      <c r="AD11" s="333"/>
      <c r="AE11" s="483"/>
      <c r="AF11" s="331" t="str">
        <f>IF(ISNUMBER(IF(J_V="SI",Datos!L11,Datos!L11+Datos!AB11)-IF(Monitorios="SI",Datos!CD11,0)),
                          IF(J_V="SI",Datos!L11,Datos!L11+Datos!AB11)-IF(Monitorios="SI",Datos!CD11,0),
                          " - ")</f>
        <v xml:space="preserve"> - </v>
      </c>
      <c r="AG11" s="333"/>
      <c r="AH11" s="333">
        <f>IF(ISNUMBER(Datos!AB11),Datos!AB11,"-")</f>
        <v>75</v>
      </c>
      <c r="AI11" s="333"/>
      <c r="AJ11" s="333"/>
      <c r="AK11" s="333"/>
      <c r="AL11" s="478"/>
      <c r="AM11" s="334">
        <f>IF(ISNUMBER(Datos!R11),Datos!R11," - ")</f>
        <v>311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92</v>
      </c>
      <c r="BD11" s="228">
        <f>IF(ISNUMBER(Datos!N11),Datos!N11," - ")</f>
        <v>291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0.94827586206896552</v>
      </c>
      <c r="BH11" s="259">
        <f>IF(ISNUMBER(((IF(J_V="SI",Datos!L11/Datos!K11,(Datos!L11+Datos!AB11)/(Datos!K11+Datos!AA11)))*11)/factor_trimestre),((IF(J_V="SI",Datos!L11/Datos!K11,(Datos!L11+Datos!AB11)/(Datos!K11+Datos!AA11)))*11)/factor_trimestre," - ")</f>
        <v>1.6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-2.20125786163522E-2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13</v>
      </c>
      <c r="F13" s="897">
        <f t="shared" si="0"/>
        <v>82</v>
      </c>
      <c r="G13" s="897">
        <f t="shared" si="0"/>
        <v>82</v>
      </c>
      <c r="H13" s="898">
        <f t="shared" si="0"/>
        <v>0</v>
      </c>
      <c r="I13" s="897">
        <f t="shared" si="0"/>
        <v>0</v>
      </c>
      <c r="J13" s="866">
        <f t="shared" si="0"/>
        <v>0</v>
      </c>
      <c r="K13" s="866">
        <f t="shared" si="0"/>
        <v>0</v>
      </c>
      <c r="L13" s="898">
        <f t="shared" si="0"/>
        <v>0</v>
      </c>
      <c r="M13" s="898">
        <f t="shared" si="0"/>
        <v>0</v>
      </c>
      <c r="N13" s="898">
        <f t="shared" si="0"/>
        <v>722</v>
      </c>
      <c r="O13" s="899">
        <f t="shared" si="0"/>
        <v>0</v>
      </c>
      <c r="P13" s="899">
        <f t="shared" si="0"/>
        <v>0</v>
      </c>
      <c r="Q13" s="898">
        <f t="shared" si="0"/>
        <v>1256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1342</v>
      </c>
      <c r="AD13" s="898">
        <f t="shared" si="1"/>
        <v>0</v>
      </c>
      <c r="AE13" s="898">
        <f t="shared" si="1"/>
        <v>0</v>
      </c>
      <c r="AF13" s="898">
        <f t="shared" si="1"/>
        <v>72</v>
      </c>
      <c r="AG13" s="898">
        <f t="shared" si="1"/>
        <v>0</v>
      </c>
      <c r="AH13" s="898">
        <f t="shared" si="1"/>
        <v>458</v>
      </c>
      <c r="AI13" s="898">
        <f t="shared" si="1"/>
        <v>0</v>
      </c>
      <c r="AJ13" s="898">
        <f t="shared" si="1"/>
        <v>0</v>
      </c>
      <c r="AK13" s="898">
        <f t="shared" si="1"/>
        <v>0</v>
      </c>
      <c r="AL13" s="898">
        <f t="shared" si="1"/>
        <v>0</v>
      </c>
      <c r="AM13" s="898">
        <f t="shared" si="1"/>
        <v>11998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1039</v>
      </c>
      <c r="BD13" s="898">
        <f t="shared" si="1"/>
        <v>1207</v>
      </c>
      <c r="BE13" s="898">
        <f t="shared" si="1"/>
        <v>0</v>
      </c>
      <c r="BF13" s="898">
        <f t="shared" si="1"/>
        <v>0</v>
      </c>
      <c r="BG13" s="898">
        <f>IF(ISNUMBER(Datos!K13/Datos!J13),Datos!K13/Datos!J13," - ")</f>
        <v>1.3194308145240432</v>
      </c>
      <c r="BH13" s="902">
        <f>IF(ISNUMBER(((Datos!L13/Datos!K13)*11)/factor_trimestre),((Datos!L13/Datos!K13)*11)/factor_trimestre," - ")</f>
        <v>3.4652287095574561</v>
      </c>
      <c r="BI13" s="898">
        <f>IF(ISNUMBER('Resol  Asuntos'!D13/NºAsuntos!G13),'Resol  Asuntos'!D13/NºAsuntos!G13," - ")</f>
        <v>0.31266927475173034</v>
      </c>
      <c r="BJ13" s="898" t="str">
        <f>IF(ISNUMBER(Datos!CI13/Datos!CJ13),Datos!CI13/Datos!CJ13," - ")</f>
        <v xml:space="preserve"> - </v>
      </c>
      <c r="BK13" s="898">
        <f>SUBTOTAL(9,BK8:BK12)</f>
        <v>0</v>
      </c>
      <c r="BL13" s="898">
        <f>IF(ISNUMBER((I13-AB13+L13)/(F13)),(I13-AB13+L13)/(F13)," - ")</f>
        <v>-0.56097560975609762</v>
      </c>
      <c r="BM13" s="903">
        <f>SUBTOTAL(9,BM9:BM12)</f>
        <v>8.9870250257264792E-2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2538</v>
      </c>
      <c r="G15" s="597">
        <f>IF(ISNUMBER(IF(D_I="SI",Datos!I15,Datos!I15+Datos!AC15)),IF(D_I="SI",Datos!I15,Datos!I15+Datos!AC15)," - ")</f>
        <v>2485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3085</v>
      </c>
      <c r="AC15" s="225">
        <f>IF(ISNUMBER(Datos!Q15),Datos!Q15," - ")</f>
        <v>107</v>
      </c>
      <c r="AD15" s="333"/>
      <c r="AE15" s="483"/>
      <c r="AF15" s="595">
        <f>IF(ISNUMBER(IF(D_I="SI",Datos!L15,Datos!L15+Datos!AF15)),IF(D_I="SI",Datos!L15,Datos!L15+Datos!AF15)," - ")</f>
        <v>2569</v>
      </c>
      <c r="AG15" s="333"/>
      <c r="AH15" s="333"/>
      <c r="AI15" s="333"/>
      <c r="AJ15" s="333"/>
      <c r="AK15" s="333"/>
      <c r="AL15" s="478"/>
      <c r="AM15" s="334">
        <f>IF(ISNUMBER(Datos!R15),Datos!R15," - ")</f>
        <v>732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362</v>
      </c>
      <c r="BD15" s="228">
        <f>IF(ISNUMBER(Datos!N15),Datos!N15," - ")</f>
        <v>2091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0.99005134788189986</v>
      </c>
      <c r="BH15" s="259">
        <f>IF(ISNUMBER(((IF(D_I="SI",Datos!L15/Datos!K15,(Datos!L15+Datos!AF15)/(Datos!K15+Datos!AE15)))*11)/factor_trimestre),((IF(D_I="SI",Datos!L15/Datos!K15,(Datos!L15+Datos!AF15)/(Datos!K15+Datos!AE15)))*11)/factor_trimestre," - ")</f>
        <v>1.6654781199351703</v>
      </c>
      <c r="BI15" s="242">
        <f>IF(ISNUMBER('Resol  Asuntos'!D15/NºAsuntos!G15),'Resol  Asuntos'!D15/NºAsuntos!G15," - ")</f>
        <v>0.1173419773095624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323</v>
      </c>
      <c r="AC17" s="225">
        <f>IF(ISNUMBER(Datos!Q17),Datos!Q17," - ")</f>
        <v>7</v>
      </c>
      <c r="AD17" s="333"/>
      <c r="AE17" s="483"/>
      <c r="AF17" s="331">
        <f>IF(ISNUMBER(Datos!L17),Datos!L17,"-")</f>
        <v>186</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49</v>
      </c>
      <c r="BD17" s="228">
        <f>IF(ISNUMBER(Datos!N17),Datos!N17," - ")</f>
        <v>128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0.91761363636363635</v>
      </c>
      <c r="BH17" s="259">
        <f>IF(ISNUMBER(((IF(D_I="SI",Datos!L17/Datos!K17,(Datos!L17+Datos!AF17)/(Datos!K17+Datos!AE17)))*11)/factor_trimestre),((IF(D_I="SI",Datos!L17/Datos!K17,(Datos!L17+Datos!AF17)/(Datos!K17+Datos!AE17)))*11)/factor_trimestre," - ")</f>
        <v>1.151702786377709</v>
      </c>
      <c r="BI17" s="242">
        <f>IF(ISNUMBER('Resol  Asuntos'!D17/NºAsuntos!G17),'Resol  Asuntos'!D17/NºAsuntos!G17," - ")</f>
        <v>0.15170278637770898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2538</v>
      </c>
      <c r="G18" s="897">
        <f>SUBTOTAL(9,G15:G17)</f>
        <v>2642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3408</v>
      </c>
      <c r="AC18" s="898">
        <f t="shared" si="4"/>
        <v>114</v>
      </c>
      <c r="AD18" s="898">
        <f t="shared" si="4"/>
        <v>0</v>
      </c>
      <c r="AE18" s="898">
        <f t="shared" si="4"/>
        <v>0</v>
      </c>
      <c r="AF18" s="898">
        <f t="shared" si="4"/>
        <v>2755</v>
      </c>
      <c r="AG18" s="898">
        <f t="shared" si="4"/>
        <v>0</v>
      </c>
      <c r="AH18" s="898">
        <f t="shared" si="4"/>
        <v>0</v>
      </c>
      <c r="AI18" s="898">
        <f t="shared" si="4"/>
        <v>0</v>
      </c>
      <c r="AJ18" s="898">
        <f t="shared" si="4"/>
        <v>0</v>
      </c>
      <c r="AK18" s="898">
        <f t="shared" si="4"/>
        <v>0</v>
      </c>
      <c r="AL18" s="898">
        <f t="shared" si="4"/>
        <v>0</v>
      </c>
      <c r="AM18" s="898">
        <f t="shared" si="4"/>
        <v>741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411</v>
      </c>
      <c r="BD18" s="898">
        <f t="shared" si="4"/>
        <v>2219</v>
      </c>
      <c r="BE18" s="898">
        <f t="shared" si="4"/>
        <v>0</v>
      </c>
      <c r="BF18" s="898">
        <f t="shared" si="4"/>
        <v>0</v>
      </c>
      <c r="BG18" s="898">
        <f>IF(ISNUMBER(Datos!K18/Datos!J18),Datos!K18/Datos!J18," - ")</f>
        <v>0.98269896193771622</v>
      </c>
      <c r="BH18" s="902">
        <f>IF(ISNUMBER(((Datos!L18/Datos!K18)*11)/factor_trimestre),((Datos!L18/Datos!K18)*11)/factor_trimestre," - ")</f>
        <v>1.6167840375586855</v>
      </c>
      <c r="BI18" s="898">
        <f>SUBTOTAL(9,BI15:BI17)</f>
        <v>0.26904476368727137</v>
      </c>
      <c r="BJ18" s="898">
        <f>SUBTOTAL(9,BJ15:BJ17)</f>
        <v>0</v>
      </c>
      <c r="BK18" s="898">
        <f>SUBTOTAL(9,BK15:BK17)</f>
        <v>0</v>
      </c>
      <c r="BL18" s="898">
        <f>IF(ISNUMBER((I18-AB18+L18)/(F18)),(I18-AB18+L18)/(F18)," - ")</f>
        <v>-1.342789598108747</v>
      </c>
      <c r="BM18" s="904">
        <f>IF(ISNUMBER((Datos!P18-Datos!Q18)/(Datos!R18-Datos!P18+Datos!Q18)),(Datos!P18-Datos!Q18)/(Datos!R18-Datos!P18+Datos!Q18)," - ")</f>
        <v>1.5068493150684932E-2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2620</v>
      </c>
      <c r="G19" s="819">
        <f t="shared" si="6"/>
        <v>2724</v>
      </c>
      <c r="H19" s="821">
        <f t="shared" si="6"/>
        <v>0</v>
      </c>
      <c r="I19" s="819">
        <f t="shared" si="6"/>
        <v>0</v>
      </c>
      <c r="J19" s="821">
        <f t="shared" si="6"/>
        <v>0</v>
      </c>
      <c r="K19" s="821">
        <f t="shared" si="6"/>
        <v>0</v>
      </c>
      <c r="L19" s="880">
        <f t="shared" si="6"/>
        <v>0</v>
      </c>
      <c r="M19" s="880">
        <f t="shared" si="6"/>
        <v>0</v>
      </c>
      <c r="N19" s="880">
        <f t="shared" si="6"/>
        <v>722</v>
      </c>
      <c r="O19" s="880">
        <f t="shared" si="6"/>
        <v>0</v>
      </c>
      <c r="P19" s="880">
        <f t="shared" si="6"/>
        <v>0</v>
      </c>
      <c r="Q19" s="821">
        <f t="shared" si="6"/>
        <v>1381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3454</v>
      </c>
      <c r="AC19" s="820">
        <f t="shared" si="7"/>
        <v>1456</v>
      </c>
      <c r="AD19" s="820">
        <f t="shared" si="7"/>
        <v>0</v>
      </c>
      <c r="AE19" s="820">
        <f t="shared" si="7"/>
        <v>0</v>
      </c>
      <c r="AF19" s="827">
        <f t="shared" si="7"/>
        <v>2827</v>
      </c>
      <c r="AG19" s="827">
        <f t="shared" si="7"/>
        <v>0</v>
      </c>
      <c r="AH19" s="827">
        <f t="shared" si="7"/>
        <v>458</v>
      </c>
      <c r="AI19" s="827">
        <f t="shared" si="7"/>
        <v>0</v>
      </c>
      <c r="AJ19" s="820">
        <f t="shared" si="7"/>
        <v>0</v>
      </c>
      <c r="AK19" s="827">
        <f t="shared" si="7"/>
        <v>0</v>
      </c>
      <c r="AL19" s="827">
        <f t="shared" si="7"/>
        <v>0</v>
      </c>
      <c r="AM19" s="827">
        <f t="shared" si="7"/>
        <v>12739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1450</v>
      </c>
      <c r="BD19" s="819">
        <f t="shared" si="7"/>
        <v>3426</v>
      </c>
      <c r="BE19" s="819">
        <f t="shared" si="7"/>
        <v>0</v>
      </c>
      <c r="BF19" s="829">
        <f t="shared" si="7"/>
        <v>0</v>
      </c>
      <c r="BG19" s="914">
        <f>IF(ISNUMBER(Datos!K19/Datos!J19),Datos!K19/Datos!J19," - ")</f>
        <v>1.1073374500544859</v>
      </c>
      <c r="BH19" s="914">
        <f>IF(ISNUMBER(((Datos!L19/Datos!K19)*11)/factor_trimestre),((Datos!L19/Datos!K19)*11)/factor_trimestre," - ")</f>
        <v>2.4320157454485813</v>
      </c>
      <c r="BI19" s="812">
        <f>IF(ISNUMBER(Datos!J19/Datos!I19),Datos!J19/Datos!I19," - ")</f>
        <v>0.68406013169337809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-1.3183206106870229</v>
      </c>
      <c r="BM19" s="888">
        <f>IF(ISNUMBER((Datos!P19-Datos!Q19+R19)/(Datos!R19-Datos!P19+Datos!Q19-R19)),(Datos!P19-Datos!Q19+R19)/(Datos!R19-Datos!P19+Datos!Q19-R19)," - ")</f>
        <v>-5.8529733104417045E-3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1089.5999999999999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4.636809247747852</v>
      </c>
      <c r="F21" s="550">
        <f>IF(ISNUMBER(STDEV(F8:F18)),STDEV(F8:F18),"-")</f>
        <v>1417.9722611297209</v>
      </c>
      <c r="G21" s="551">
        <f>IF(ISNUMBER(STDEV(G8:G18)),STDEV(G8:G18),"-")</f>
        <v>1346.9730138350953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1709.9822513698789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420.23950087448719</v>
      </c>
      <c r="BD21" s="550"/>
      <c r="BE21" s="550">
        <f>IF(ISNUMBER(STDEV(BE8:BE18)),STDEV(BE8:BE18),"-")</f>
        <v>0</v>
      </c>
      <c r="BF21" s="555">
        <f>IF(ISNUMBER(STDEV(BF8:BF18)),STDEV(BF8:BF18),"-")</f>
        <v>0</v>
      </c>
      <c r="BG21" s="774">
        <f>IF(ISNUMBER(STDEV(BG8:BG18)),STDEV(BG8:BG18),"-")</f>
        <v>0.17606722447474146</v>
      </c>
      <c r="BH21" s="775">
        <f>IF(ISNUMBER(STDEV(BH8:BH18)),STDEV(BH8:BH18),"-")</f>
        <v>0.97796911065774483</v>
      </c>
      <c r="BI21" s="248">
        <f>IF(ISNUMBER(STDEV(BI8:BI18)),STDEV(BI8:BI18),"-")</f>
        <v>9.3063419999766153E-2</v>
      </c>
      <c r="BJ21" s="229" t="str">
        <f>IF(ISNUMBER(BL21/BM21),BL21/BM21," - ")</f>
        <v xml:space="preserve"> - </v>
      </c>
      <c r="BK21" s="574"/>
      <c r="BL21" s="558">
        <f>IF(ISNUMBER(STDEV(BL8:BL18)),STDEV(BL8:BL18),"-")</f>
        <v>0.55282597279065893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pRVZ0FUrInr7wvudpGmZYkJUYSWsIIDYP/Hx96s9+r4e81rUME1V3jlZnTy4Maf0HG0LiKdcA0x1yVwqlpo2w==" saltValue="SDK5/IiIwHCRqEIJgOOR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OVIEDO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1221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1305</v>
      </c>
      <c r="AA9" s="331" t="str">
        <f>IF(ISNUMBER(IF(J_V="SI",Datos!L9,Datos!L9+Datos!AB9)-IF(Monitorios="SI",Datos!CD9,0)),
                          IF(J_V="SI",Datos!L9,Datos!L9+Datos!AB9)-IF(Monitorios="SI",Datos!CD9,0),
                          " - ")</f>
        <v xml:space="preserve"> - </v>
      </c>
      <c r="AB9" s="333"/>
      <c r="AC9" s="333"/>
      <c r="AD9" s="483"/>
      <c r="AE9" s="483">
        <f>IF(ISNUMBER(Datos!R9),Datos!R9," - ")</f>
        <v>11640</v>
      </c>
      <c r="AF9" s="228" t="str">
        <f>IF(ISNUMBER(Datos!BV9),Datos!BV9," - ")</f>
        <v xml:space="preserve"> - </v>
      </c>
      <c r="AG9" s="224" t="str">
        <f>IF(ISNUMBER(Datos!DV9),Datos!DV9," - ")</f>
        <v xml:space="preserve"> - </v>
      </c>
      <c r="AH9" s="297"/>
      <c r="AI9" s="226"/>
      <c r="AJ9" s="224">
        <f>IF(ISNUMBER(Datos!M9),Datos!M9," - ")</f>
        <v>933</v>
      </c>
      <c r="AK9" s="228">
        <f>IF(ISNUMBER(Datos!N9),Datos!N9," - ")</f>
        <v>891</v>
      </c>
      <c r="AL9" s="228" t="str">
        <f>IF(ISNUMBER(Datos!BW9),Datos!BW9," - ")</f>
        <v xml:space="preserve"> - </v>
      </c>
      <c r="AM9" s="227" t="str">
        <f>IF(ISNUMBER(Datos!BX9),Datos!BX9," - ")</f>
        <v xml:space="preserve"> - </v>
      </c>
      <c r="AN9" s="242"/>
      <c r="AO9" s="259">
        <f>IF(ISNUMBER(((NºAsuntos!I9/NºAsuntos!G9)*11)/factor_trimestre),((NºAsuntos!I9/NºAsuntos!G9)*11)/factor_trimestre," - ")</f>
        <v>3.3084243919633418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-7.164790174002047E-3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82</v>
      </c>
      <c r="G10" s="224">
        <f>IF(ISNUMBER(Datos!I10),Datos!I10," - ")</f>
        <v>82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2</v>
      </c>
      <c r="AA10" s="331">
        <f>IF(ISNUMBER(Datos!L10),Datos!L10,"-")</f>
        <v>72</v>
      </c>
      <c r="AB10" s="333"/>
      <c r="AC10" s="333"/>
      <c r="AD10" s="483"/>
      <c r="AE10" s="483">
        <f>IF(ISNUMBER(Datos!R10),Datos!R10," - ")</f>
        <v>47</v>
      </c>
      <c r="AF10" s="228" t="str">
        <f>IF(ISNUMBER(Datos!BV10),Datos!BV10," - ")</f>
        <v xml:space="preserve"> - </v>
      </c>
      <c r="AG10" s="224" t="str">
        <f>IF(ISNUMBER(Datos!DV10),Datos!DV10," - ")</f>
        <v xml:space="preserve"> - </v>
      </c>
      <c r="AH10" s="297"/>
      <c r="AI10" s="226"/>
      <c r="AJ10" s="224">
        <f>IF(ISNUMBER(Datos!M10),Datos!M10," - ")</f>
        <v>14</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3.1304347826086958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0.11904761904761904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35</v>
      </c>
      <c r="AA11" s="331" t="str">
        <f>IF(ISNUMBER(IF(J_V="SI",Datos!L11,Datos!L11+Datos!AB11)-IF(Monitorios="SI",Datos!CD11,0)),
                          IF(J_V="SI",Datos!L11,Datos!L11+Datos!AB11)-IF(Monitorios="SI",Datos!CD11,0),
                          " - ")</f>
        <v xml:space="preserve"> - </v>
      </c>
      <c r="AB11" s="333"/>
      <c r="AC11" s="333"/>
      <c r="AD11" s="483"/>
      <c r="AE11" s="483">
        <f>IF(ISNUMBER(Datos!R11),Datos!R11," - ")</f>
        <v>311</v>
      </c>
      <c r="AF11" s="228" t="str">
        <f>IF(ISNUMBER(Datos!BV11),Datos!BV11," - ")</f>
        <v xml:space="preserve"> - </v>
      </c>
      <c r="AG11" s="224" t="str">
        <f>IF(ISNUMBER(Datos!DV11),Datos!DV11," - ")</f>
        <v xml:space="preserve"> - </v>
      </c>
      <c r="AH11" s="297"/>
      <c r="AI11" s="226"/>
      <c r="AJ11" s="224">
        <f>IF(ISNUMBER(Datos!M11),Datos!M11," - ")</f>
        <v>92</v>
      </c>
      <c r="AK11" s="228">
        <f>IF(ISNUMBER(Datos!N11),Datos!N11," - ")</f>
        <v>291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-2.20125786163522E-2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13</v>
      </c>
      <c r="F13" s="897">
        <f>SUBTOTAL(9,F8:F12)</f>
        <v>82</v>
      </c>
      <c r="G13" s="897">
        <f>SUBTOTAL(9,G8:G12)</f>
        <v>82</v>
      </c>
      <c r="H13" s="907"/>
      <c r="I13" s="897">
        <f t="shared" ref="I13:N13" si="0">SUBTOTAL(9,I8:I12)</f>
        <v>0</v>
      </c>
      <c r="J13" s="866">
        <f t="shared" si="0"/>
        <v>0</v>
      </c>
      <c r="K13" s="907">
        <f t="shared" si="0"/>
        <v>0</v>
      </c>
      <c r="L13" s="907">
        <f t="shared" si="0"/>
        <v>0</v>
      </c>
      <c r="M13" s="907">
        <f t="shared" si="0"/>
        <v>0</v>
      </c>
      <c r="N13" s="907">
        <f t="shared" si="0"/>
        <v>1256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1342</v>
      </c>
      <c r="AA13" s="899">
        <f t="shared" si="2"/>
        <v>72</v>
      </c>
      <c r="AB13" s="899">
        <f t="shared" si="2"/>
        <v>0</v>
      </c>
      <c r="AC13" s="899">
        <f t="shared" si="2"/>
        <v>0</v>
      </c>
      <c r="AD13" s="899">
        <f t="shared" si="2"/>
        <v>0</v>
      </c>
      <c r="AE13" s="899">
        <f t="shared" si="2"/>
        <v>11998</v>
      </c>
      <c r="AF13" s="907">
        <f t="shared" si="2"/>
        <v>0</v>
      </c>
      <c r="AG13" s="907">
        <f t="shared" si="2"/>
        <v>0</v>
      </c>
      <c r="AH13" s="907">
        <f t="shared" si="2"/>
        <v>0</v>
      </c>
      <c r="AI13" s="907">
        <f t="shared" si="2"/>
        <v>0</v>
      </c>
      <c r="AJ13" s="907">
        <f t="shared" si="2"/>
        <v>1039</v>
      </c>
      <c r="AK13" s="907">
        <f t="shared" si="2"/>
        <v>1207</v>
      </c>
      <c r="AL13" s="907">
        <f t="shared" si="2"/>
        <v>0</v>
      </c>
      <c r="AM13" s="907">
        <f t="shared" si="2"/>
        <v>0</v>
      </c>
      <c r="AN13" s="907">
        <f t="shared" si="2"/>
        <v>0</v>
      </c>
      <c r="AO13" s="903">
        <f>IF(ISNUMBER(((NºAsuntos!I13/NºAsuntos!G13)*11)/factor_trimestre),((NºAsuntos!I13/NºAsuntos!G13)*11)/factor_trimestre," - ")</f>
        <v>3.0797472163707487</v>
      </c>
      <c r="AP13" s="909" t="str">
        <f>IF(ISNUMBER(Datos!CI13/Datos!CJ13),Datos!CI13/Datos!CJ13," - ")</f>
        <v xml:space="preserve"> - </v>
      </c>
      <c r="AQ13" s="927">
        <f t="shared" ref="AQ13:AV13" si="3">SUBTOTAL(9,AQ9:AQ12)</f>
        <v>0</v>
      </c>
      <c r="AR13" s="927">
        <f t="shared" si="3"/>
        <v>8.9870250257264792E-2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2538</v>
      </c>
      <c r="G15" s="224">
        <f>IF(ISNUMBER(IF(D_I="SI",Datos!I15,Datos!I15+Datos!AC15)),IF(D_I="SI",Datos!I15,Datos!I15+Datos!AC15)," - ")</f>
        <v>2485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3085</v>
      </c>
      <c r="Z15" s="618">
        <f>IF(ISNUMBER(Datos!Q15),Datos!Q15," - ")</f>
        <v>107</v>
      </c>
      <c r="AA15" s="331">
        <f>IF(ISNUMBER(IF(D_I="SI",Datos!L15,Datos!L15+Datos!AF15)),IF(D_I="SI",Datos!L15,Datos!L15+Datos!AF15)," - ")</f>
        <v>2569</v>
      </c>
      <c r="AB15" s="333"/>
      <c r="AC15" s="333"/>
      <c r="AD15" s="483"/>
      <c r="AE15" s="483">
        <f>IF(ISNUMBER(Datos!R15),Datos!R15," - ")</f>
        <v>732</v>
      </c>
      <c r="AF15" s="228" t="str">
        <f>IF(ISNUMBER(Datos!BV15),Datos!BV15," - ")</f>
        <v xml:space="preserve"> - </v>
      </c>
      <c r="AG15" s="224"/>
      <c r="AH15" s="297"/>
      <c r="AI15" s="226"/>
      <c r="AJ15" s="224">
        <f>IF(ISNUMBER(Datos!M15),Datos!M15," - ")</f>
        <v>362</v>
      </c>
      <c r="AK15" s="228">
        <f>IF(ISNUMBER(Datos!N15),Datos!N15," - ")</f>
        <v>2091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1.6654781199351703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323</v>
      </c>
      <c r="Z17" s="618">
        <f>IF(ISNUMBER(Datos!Q17),Datos!Q17," - ")</f>
        <v>7</v>
      </c>
      <c r="AA17" s="331">
        <f>IF(ISNUMBER(Datos!L17),Datos!L17,"-")</f>
        <v>186</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49</v>
      </c>
      <c r="AK17" s="228">
        <f>IF(ISNUMBER(Datos!N17),Datos!N17," - ")</f>
        <v>128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1.151702786377709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2538</v>
      </c>
      <c r="G18" s="897">
        <f>SUBTOTAL(9,G15:G17)</f>
        <v>2642</v>
      </c>
      <c r="H18" s="931">
        <f>SUBTOTAL(9,H15:H17)</f>
        <v>0</v>
      </c>
      <c r="I18" s="910">
        <f>SUBTOTAL(9,I15:I17)</f>
        <v>0</v>
      </c>
      <c r="J18" s="866">
        <f>SUBTOTAL(9,J14:J17)</f>
        <v>0</v>
      </c>
      <c r="K18" s="931">
        <f t="shared" ref="K18:S18" si="4">SUBTOTAL(9,K15:K17)</f>
        <v>0</v>
      </c>
      <c r="L18" s="931">
        <f t="shared" si="4"/>
        <v>0</v>
      </c>
      <c r="M18" s="931">
        <f t="shared" si="4"/>
        <v>0</v>
      </c>
      <c r="N18" s="931">
        <f t="shared" si="4"/>
        <v>125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3408</v>
      </c>
      <c r="Z18" s="931">
        <f t="shared" si="5"/>
        <v>114</v>
      </c>
      <c r="AA18" s="931">
        <f t="shared" si="5"/>
        <v>2755</v>
      </c>
      <c r="AB18" s="931">
        <f t="shared" si="5"/>
        <v>0</v>
      </c>
      <c r="AC18" s="931">
        <f t="shared" si="5"/>
        <v>0</v>
      </c>
      <c r="AD18" s="931">
        <f t="shared" si="5"/>
        <v>0</v>
      </c>
      <c r="AE18" s="931">
        <f t="shared" si="5"/>
        <v>741</v>
      </c>
      <c r="AF18" s="931">
        <f t="shared" si="5"/>
        <v>0</v>
      </c>
      <c r="AG18" s="931">
        <f t="shared" si="5"/>
        <v>0</v>
      </c>
      <c r="AH18" s="931">
        <f t="shared" si="5"/>
        <v>0</v>
      </c>
      <c r="AI18" s="931">
        <f t="shared" si="5"/>
        <v>0</v>
      </c>
      <c r="AJ18" s="931">
        <f t="shared" si="5"/>
        <v>411</v>
      </c>
      <c r="AK18" s="931">
        <f t="shared" si="5"/>
        <v>2219</v>
      </c>
      <c r="AL18" s="931">
        <f t="shared" si="5"/>
        <v>0</v>
      </c>
      <c r="AM18" s="931">
        <f t="shared" si="5"/>
        <v>0</v>
      </c>
      <c r="AN18" s="931">
        <f t="shared" si="5"/>
        <v>0</v>
      </c>
      <c r="AO18" s="933">
        <f>IF(ISNUMBER(((NºAsuntos!I18/NºAsuntos!G18)*11)/factor_trimestre),((NºAsuntos!I18/NºAsuntos!G18)*11)/factor_trimestre," - ")</f>
        <v>1.6167840375586855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2620</v>
      </c>
      <c r="G19" s="819">
        <f t="shared" si="7"/>
        <v>2724</v>
      </c>
      <c r="H19" s="820">
        <f t="shared" si="7"/>
        <v>0</v>
      </c>
      <c r="I19" s="819">
        <f t="shared" si="7"/>
        <v>0</v>
      </c>
      <c r="J19" s="821">
        <f t="shared" si="7"/>
        <v>0</v>
      </c>
      <c r="K19" s="819">
        <f t="shared" si="7"/>
        <v>0</v>
      </c>
      <c r="L19" s="822">
        <f t="shared" si="7"/>
        <v>0</v>
      </c>
      <c r="M19" s="819">
        <f t="shared" si="7"/>
        <v>0</v>
      </c>
      <c r="N19" s="820">
        <f t="shared" si="7"/>
        <v>1381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3454</v>
      </c>
      <c r="Z19" s="826">
        <f t="shared" si="8"/>
        <v>1456</v>
      </c>
      <c r="AA19" s="827">
        <f t="shared" si="8"/>
        <v>2827</v>
      </c>
      <c r="AB19" s="827">
        <f t="shared" si="8"/>
        <v>0</v>
      </c>
      <c r="AC19" s="827">
        <f t="shared" si="8"/>
        <v>0</v>
      </c>
      <c r="AD19" s="828">
        <f t="shared" si="8"/>
        <v>0</v>
      </c>
      <c r="AE19" s="828">
        <f t="shared" si="8"/>
        <v>12739</v>
      </c>
      <c r="AF19" s="829">
        <f t="shared" si="8"/>
        <v>0</v>
      </c>
      <c r="AG19" s="830">
        <f t="shared" si="8"/>
        <v>0</v>
      </c>
      <c r="AH19" s="831">
        <f t="shared" si="8"/>
        <v>0</v>
      </c>
      <c r="AI19" s="829">
        <f t="shared" si="8"/>
        <v>0</v>
      </c>
      <c r="AJ19" s="819">
        <f t="shared" si="8"/>
        <v>1450</v>
      </c>
      <c r="AK19" s="819">
        <f t="shared" si="8"/>
        <v>3426</v>
      </c>
      <c r="AL19" s="819">
        <f t="shared" si="8"/>
        <v>0</v>
      </c>
      <c r="AM19" s="832">
        <f t="shared" si="8"/>
        <v>0</v>
      </c>
      <c r="AN19" s="822">
        <f>IF(ISNUMBER(Datos!K19/Datos!J19),Datos!K19/Datos!J19," - ")</f>
        <v>1.1073374500544859</v>
      </c>
      <c r="AO19" s="822">
        <f>IF(ISNUMBER(FIND("06",Criterios!A8,1)),(IF(ISNUMBER(((Datos!R19/Datos!Q19)*11)/factor_trimestre),((Datos!R19/Datos!Q19)*11)/factor_trimestre," - ")),(IF(ISNUMBER(((Datos!L19/Datos!K19)*11)/factor_trimestre),((Datos!L19/Datos!K19)*11)/factor_trimestre," - ")))</f>
        <v>2.4320157454485813</v>
      </c>
      <c r="AP19" s="833" t="str">
        <f>IF(ISNUMBER(Datos!CI19/Datos!CJ19),Datos!CI19/Datos!CJ19," - ")</f>
        <v xml:space="preserve"> - </v>
      </c>
      <c r="AQ19" s="833">
        <f>IF(OR(ISNUMBER(FIND("01",Criterios!A8,1)),ISNUMBER(FIND("02",Criterios!A8,1)),ISNUMBER(FIND("03",Criterios!A8,1)),ISNUMBER(FIND("04",Criterios!A8,1))),(J19-Y19+K19)/(F19-K19),(I19-Y19+K19)/(F19-K19))</f>
        <v>-1.3183206106870229</v>
      </c>
      <c r="AR19" s="833">
        <f>IF(ISNUMBER((Datos!P19-Datos!Q19+O19)/(Datos!R19-Datos!P19+Datos!Q19-O19)),(Datos!P19-Datos!Q19+O19)/(Datos!R19-Datos!P19+Datos!Q19-O19)," - ")</f>
        <v>-5.8529733104417045E-3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1089.5999999999999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1417.9722611297209</v>
      </c>
      <c r="G21" s="551">
        <f>IF(ISNUMBER(STDEV(G8:G18)),STDEV(G8:G18),"-")</f>
        <v>1346.9730138350953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420.23950087448719</v>
      </c>
      <c r="AK21" s="251"/>
      <c r="AL21" s="251">
        <f>IF(ISNUMBER(STDEV(AL8:AL18)),STDEV(AL8:AL18),"-")</f>
        <v>0</v>
      </c>
      <c r="AM21" s="253">
        <f>IF(ISNUMBER(STDEV(AM8:AM18)),STDEV(AM8:AM18),"-")</f>
        <v>0</v>
      </c>
      <c r="AN21" s="538">
        <f>IF(ISNUMBER(STDEV(AN8:AN18)),STDEV(AN8:AN18),"-")</f>
        <v>0</v>
      </c>
      <c r="AO21" s="539">
        <f>IF(ISNUMBER(STDEV(AO8:AO18)),STDEV(AO8:AO18),"-")</f>
        <v>0.90826985701633445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KBEtmXTFs2N2gZkDb95Do5UBp2Rmn7XdgB785MKJyYbjksWMx+2JBG/Ykh/hfyArjf9zS1h6cz1VUVN4uHfdg==" saltValue="4EHF6RXd8bICtUWHGXGd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3BP+rvPajm9aAixocw2jxAhhETLyp2jXu3ZOrpFLihbTKxTM0fLHt6tYW9TD10vDxMDHffGSv9eHXfZ6EfObA==" saltValue="K8CbiQM3wtC8iZ3jbCtc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aRM4tZbMSqzKNYEe+pxKcIclgbpXI1VqoxlmphUCLTEZH+xsRjYlbJMVEOV+BpaB4C/07ab4pmRpLsg7re+Q==" saltValue="aIBbq7C/gd6aR3E2toy6k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0.31266927475173034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0.2210905644456283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eA6rLTqZCOSA/XwByeoMRG4YNsulA5S6F9QRw367qGz6Wbsx6NhPnf3OCcS1wRAAW0q+yfpmSPyaWdMzM0LIw==" saltValue="2bg00MCGYnJJM9O1yCVl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VD3o5dDiL0FhbHPB9vhZNpaFOsa7vFKUo6pA2Wk3OK/iHywZ2h3vFuD+Go6YtPN8uqk3keqW4PK/iS7xAc3yw==" saltValue="xl7k8FLtJOGLZeFdLcJ7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OVIEDO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5368</v>
      </c>
      <c r="D9" s="403">
        <f>IF(ISNUMBER(C9/Datos!BH9),C9/Datos!BH9," - ")</f>
        <v>536.79999999999995</v>
      </c>
      <c r="E9" s="402">
        <f>IF(ISNUMBER(IF(J_V="SI",Datos!J9,Datos!J9+Datos!Z9)),IF(J_V="SI",Datos!J9,Datos!J9+Datos!Z9)," - ")</f>
        <v>2260</v>
      </c>
      <c r="F9" s="403">
        <f>IF(ISNUMBER(E9/B9),E9/B9," - ")</f>
        <v>226</v>
      </c>
      <c r="G9" s="402">
        <f>IF(ISNUMBER(IF(J_V="SI",Datos!K9,Datos!K9+Datos!AA9)),IF(J_V="SI",Datos!K9,Datos!K9+Datos!AA9)," - ")</f>
        <v>2837</v>
      </c>
      <c r="H9" s="403">
        <f>IF(ISNUMBER(G9/B9),G9/B9," - ")</f>
        <v>283.7</v>
      </c>
      <c r="I9" s="402">
        <f>IF(ISNUMBER(IF(J_V="SI",Datos!L9,Datos!L9+Datos!AB9)),IF(J_V="SI",Datos!L9,Datos!L9+Datos!AB9)," - ")</f>
        <v>4693</v>
      </c>
      <c r="J9" s="403">
        <f>IF(ISNUMBER(I9/B9),I9/B9," - ")</f>
        <v>469.3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82</v>
      </c>
      <c r="D10" s="403">
        <f>IF(ISNUMBER(C10/Datos!BH10),C10/Datos!BH10," - ")</f>
        <v>82</v>
      </c>
      <c r="E10" s="402">
        <f>IF(ISNUMBER(Datos!J10),Datos!J10," - ")</f>
        <v>36</v>
      </c>
      <c r="F10" s="403">
        <f>IF(ISNUMBER(E10/B10),E10/B10," - ")</f>
        <v>36</v>
      </c>
      <c r="G10" s="402">
        <f>IF(ISNUMBER(Datos!K10),Datos!K10," - ")</f>
        <v>46</v>
      </c>
      <c r="H10" s="403">
        <f>IF(ISNUMBER(G10/B10),G10/B10," - ")</f>
        <v>46</v>
      </c>
      <c r="I10" s="402">
        <f>IF(ISNUMBER(Datos!L10),Datos!L10," - ")</f>
        <v>72</v>
      </c>
      <c r="J10" s="403">
        <f>IF(ISNUMBER(I10/B10),I10/B10," - ")</f>
        <v>72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328</v>
      </c>
      <c r="D11" s="403">
        <f>IF(ISNUMBER(C11/Datos!BH11),C11/Datos!BH11," - ")</f>
        <v>164</v>
      </c>
      <c r="E11" s="402">
        <f>IF(ISNUMBER(IF(J_V="SI",Datos!J11,Datos!J11+Datos!Z11)),IF(J_V="SI",Datos!J11,Datos!J11+Datos!Z11)," - ")</f>
        <v>464</v>
      </c>
      <c r="F11" s="403">
        <f>IF(ISNUMBER(E11/B11),E11/B11," - ")</f>
        <v>232</v>
      </c>
      <c r="G11" s="402">
        <f>IF(ISNUMBER(IF(J_V="SI",Datos!K11,Datos!K11+Datos!AA11)),IF(J_V="SI",Datos!K11,Datos!K11+Datos!AA11)," - ")</f>
        <v>440</v>
      </c>
      <c r="H11" s="403">
        <f>IF(ISNUMBER(G11/B11),G11/B11," - ")</f>
        <v>220</v>
      </c>
      <c r="I11" s="402">
        <f>IF(ISNUMBER(IF(J_V="SI",Datos!L11,Datos!L11+Datos!AB11)),IF(J_V="SI",Datos!L11,Datos!L11+Datos!AB11)," - ")</f>
        <v>352</v>
      </c>
      <c r="J11" s="403">
        <f>IF(ISNUMBER(I11/B11),I11/B11," - ")</f>
        <v>176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5778</v>
      </c>
      <c r="D13" s="849" t="str">
        <f>IF(ISNUMBER(C13/Datos!BI13),C13/Datos!BI13," - ")</f>
        <v xml:space="preserve"> - </v>
      </c>
      <c r="E13" s="848">
        <f>SUBTOTAL(9,E8:E12)</f>
        <v>2760</v>
      </c>
      <c r="F13" s="849">
        <f>IF(ISNUMBER(E13/B13),E13/B13," - ")</f>
        <v>212.30769230769232</v>
      </c>
      <c r="G13" s="848">
        <f>SUBTOTAL(9,G8:G12)</f>
        <v>3323</v>
      </c>
      <c r="H13" s="849">
        <f>IF(ISNUMBER(G13/B13),G13/B13," - ")</f>
        <v>255.61538461538461</v>
      </c>
      <c r="I13" s="848">
        <f>SUBTOTAL(9,I8:I12)</f>
        <v>5117</v>
      </c>
      <c r="J13" s="849">
        <f>IF(ISNUMBER(I13/B13),I13/B13," - ")</f>
        <v>393.61538461538464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2485</v>
      </c>
      <c r="D15" s="403">
        <f>IF(ISNUMBER(C15/Datos!BH15),C15/Datos!BH15," - ")</f>
        <v>621.25</v>
      </c>
      <c r="E15" s="402">
        <f>IF(ISNUMBER(IF(D_I="SI",Datos!J15,Datos!J15+Datos!AD15)),IF(D_I="SI",Datos!J15,Datos!J15+Datos!AD15)," - ")</f>
        <v>3116</v>
      </c>
      <c r="F15" s="403">
        <f>IF(ISNUMBER(E15/B15),E15/B15," - ")</f>
        <v>779</v>
      </c>
      <c r="G15" s="402">
        <f>IF(ISNUMBER(IF(D_I="SI",Datos!K15,Datos!K15+Datos!AE15)),IF(D_I="SI",Datos!K15,Datos!K15+Datos!AE15)," - ")</f>
        <v>3085</v>
      </c>
      <c r="H15" s="403">
        <f>IF(ISNUMBER(G15/B15),G15/B15," - ")</f>
        <v>771.25</v>
      </c>
      <c r="I15" s="402">
        <f>IF(ISNUMBER(IF(D_I="SI",Datos!L15,Datos!L15+Datos!AF15)),IF(D_I="SI",Datos!L15,Datos!L15+Datos!AF15)," - ")</f>
        <v>2569</v>
      </c>
      <c r="J15" s="403">
        <f>IF(ISNUMBER(I15/B15),I15/B15," - ")</f>
        <v>642.25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157</v>
      </c>
      <c r="D17" s="403">
        <f>IF(ISNUMBER(C17/Datos!BH17),C17/Datos!BH17," - ")</f>
        <v>157</v>
      </c>
      <c r="E17" s="402">
        <f>IF(ISNUMBER(IF(D_I="SI",Datos!J17,Datos!J17+Datos!AD17)),IF(D_I="SI",Datos!J17,Datos!J17+Datos!AD17)," - ")</f>
        <v>352</v>
      </c>
      <c r="F17" s="403">
        <f>IF(ISNUMBER(E17/B17),E17/B17," - ")</f>
        <v>352</v>
      </c>
      <c r="G17" s="402">
        <f>IF(ISNUMBER(IF(D_I="SI",Datos!K17,Datos!K17+Datos!AE17)),IF(D_I="SI",Datos!K17,Datos!K17+Datos!AE17)," - ")</f>
        <v>323</v>
      </c>
      <c r="H17" s="403">
        <f>IF(ISNUMBER(G17/B17),G17/B17," - ")</f>
        <v>323</v>
      </c>
      <c r="I17" s="402">
        <f>IF(ISNUMBER(IF(D_I="SI",Datos!L17,Datos!L17+Datos!AF17)),IF(D_I="SI",Datos!L17,Datos!L17+Datos!AF17)," - ")</f>
        <v>186</v>
      </c>
      <c r="J17" s="403">
        <f>IF(ISNUMBER(I17/B17),I17/B17," - ")</f>
        <v>186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2642</v>
      </c>
      <c r="D18" s="849" t="str">
        <f>IF(ISNUMBER(C18/Datos!BI18),C18/Datos!BI18," - ")</f>
        <v xml:space="preserve"> - </v>
      </c>
      <c r="E18" s="848">
        <f>SUBTOTAL(9,E14:E17)</f>
        <v>3468</v>
      </c>
      <c r="F18" s="849">
        <f>IF(ISNUMBER(E18/B18),E18/B18," - ")</f>
        <v>693.6</v>
      </c>
      <c r="G18" s="848">
        <f>SUBTOTAL(9,G14:G17)</f>
        <v>3408</v>
      </c>
      <c r="H18" s="849">
        <f>IF(ISNUMBER(G18/B18),G18/B18," - ")</f>
        <v>681.6</v>
      </c>
      <c r="I18" s="848">
        <f>SUBTOTAL(9,I14:I17)</f>
        <v>2755</v>
      </c>
      <c r="J18" s="849">
        <f>IF(ISNUMBER(I18/B18),I18/B18," - ")</f>
        <v>551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8420</v>
      </c>
      <c r="D19" s="794" t="str">
        <f>IF(ISNUMBER(C19/Datos!BI19),C19/Datos!BI19," - ")</f>
        <v xml:space="preserve"> - </v>
      </c>
      <c r="E19" s="793">
        <f>SUBTOTAL(9,E9:E18)</f>
        <v>6228</v>
      </c>
      <c r="F19" s="794">
        <f>IF(ISNUMBER(E19/B19),E19/B19," - ")</f>
        <v>366.35294117647061</v>
      </c>
      <c r="G19" s="793">
        <f>SUBTOTAL(9,G9:G18)</f>
        <v>6731</v>
      </c>
      <c r="H19" s="794">
        <f>IF(ISNUMBER(G19/B19),G19/B19," - ")</f>
        <v>395.94117647058823</v>
      </c>
      <c r="I19" s="793">
        <f>SUBTOTAL(9,I9:I18)</f>
        <v>7872</v>
      </c>
      <c r="J19" s="794">
        <f>IF(ISNUMBER(I19/B19),I19/B19," - ")</f>
        <v>463.05882352941177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JTf+ALNAQ0NouZfoLreazDbgfOnjAPz88IeV8wbDMY0pE5Js3YxmMKXTOkOQYQNV6zDvjwykHu/9FapzgYAg==" saltValue="1Sw/rMDqrOHKr9rBzty1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OVIEDO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82</v>
      </c>
      <c r="G10" s="683">
        <f>IF(ISNUMBER(Datos!I10),Datos!I10," - ")</f>
        <v>82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25</v>
      </c>
      <c r="AN10" s="689">
        <f>IF(ISNUMBER(Datos!BW10+DatosP!BW17),Datos!BW10+DatosP!BW17," - ")</f>
        <v>0</v>
      </c>
      <c r="AO10" s="690">
        <f>IF(ISNUMBER(Datos!BX10+DatosP!BX17),Datos!BX10+DatosP!BX17," - ")</f>
        <v>0</v>
      </c>
      <c r="AP10" s="692">
        <f>IF(ISNUMBER(((Datos!L10/Datos!K10)*11)/factor_trimestre),((Datos!L10/Datos!K10)*11)/factor_trimestre," - ")</f>
        <v>3.1304347826086958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82</v>
      </c>
      <c r="G13" s="937">
        <f t="shared" si="0"/>
        <v>82</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0</v>
      </c>
      <c r="AE13" s="938">
        <f t="shared" si="1"/>
        <v>0</v>
      </c>
      <c r="AF13" s="938">
        <f t="shared" si="1"/>
        <v>72</v>
      </c>
      <c r="AG13" s="938">
        <f t="shared" si="1"/>
        <v>0</v>
      </c>
      <c r="AH13" s="938">
        <f t="shared" si="1"/>
        <v>0</v>
      </c>
      <c r="AI13" s="938">
        <f t="shared" si="1"/>
        <v>0</v>
      </c>
      <c r="AJ13" s="938">
        <f t="shared" si="1"/>
        <v>0</v>
      </c>
      <c r="AK13" s="938">
        <f t="shared" si="1"/>
        <v>0</v>
      </c>
      <c r="AL13" s="938">
        <f t="shared" si="1"/>
        <v>14</v>
      </c>
      <c r="AM13" s="938">
        <f t="shared" si="1"/>
        <v>25</v>
      </c>
      <c r="AN13" s="938">
        <f t="shared" si="1"/>
        <v>0</v>
      </c>
      <c r="AO13" s="938">
        <f t="shared" si="1"/>
        <v>0</v>
      </c>
      <c r="AP13" s="943">
        <f>IF(ISNUMBER(((Datos!L13/Datos!K13)*11)/factor_trimestre),((Datos!L13/Datos!K13)*11)/factor_trimestre," - ")</f>
        <v>3.4652287095574561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-0.56097560975609762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1.6167840375586855</v>
      </c>
      <c r="AQ18" s="943">
        <f>IF(ISNUMBER(((Datos!M18/Datos!L18)*11)/factor_trimestre),((Datos!M18/Datos!L18)*11)/factor_trimestre," - ")</f>
        <v>0.2983666061705989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1.5068493150684932E-2</v>
      </c>
      <c r="AW18" s="945">
        <f>IF(ISNUMBER((Datos!Q18-Datos!R18)/(Datos!S18-Datos!Q18+Datos!R18)),(Datos!Q18-Datos!R18)/(Datos!S18-Datos!Q18+Datos!R18)," - ")</f>
        <v>-0.17378048780487804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82</v>
      </c>
      <c r="G19" s="950">
        <f t="shared" si="4"/>
        <v>82</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0</v>
      </c>
      <c r="AE19" s="956">
        <f t="shared" si="5"/>
        <v>0</v>
      </c>
      <c r="AF19" s="957">
        <f t="shared" si="5"/>
        <v>72</v>
      </c>
      <c r="AG19" s="957">
        <f t="shared" si="5"/>
        <v>0</v>
      </c>
      <c r="AH19" s="957">
        <f t="shared" si="5"/>
        <v>0</v>
      </c>
      <c r="AI19" s="957">
        <f t="shared" si="5"/>
        <v>0</v>
      </c>
      <c r="AJ19" s="958">
        <f t="shared" si="5"/>
        <v>0</v>
      </c>
      <c r="AK19" s="958">
        <f t="shared" si="5"/>
        <v>0</v>
      </c>
      <c r="AL19" s="950">
        <f t="shared" si="5"/>
        <v>14</v>
      </c>
      <c r="AM19" s="950">
        <f t="shared" si="5"/>
        <v>25</v>
      </c>
      <c r="AN19" s="950">
        <f t="shared" si="5"/>
        <v>0</v>
      </c>
      <c r="AO19" s="950">
        <f t="shared" si="5"/>
        <v>0</v>
      </c>
      <c r="AP19" s="950">
        <f>IF(ISNUMBER(((Datos!L19/Datos!K19)*11)/factor_trimestre),((Datos!L19/Datos!K19)*11)/factor_trimestre," - ")</f>
        <v>2.4320157454485813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-0.56097560975609762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-5.8529733104417045E-3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47.342722073549311</v>
      </c>
      <c r="G21" s="736">
        <f>IF(ISNUMBER(STDEV(G8:G18)),STDEV(G8:G18),"-")</f>
        <v>47.342722073549311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0.98488351738948188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S7NSdqRuHQpCWRHn0VA3XkPD/Zmv8vr37xaVPEZ+299w5p+gmypTV9VazWV36uQd/KfFPmKpFlr0QHJUpVk9A==" saltValue="eSOAM/s22xPdV2OBxDhY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OVIEDO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sNx9t8lMqHnpSk9ITPEwBuB7Au3orhOxwG1wt/d3f6grup85Io/Q3JkzVnDYII5e9bSRkEyF101iq1qx/fuDw==" saltValue="hQ0QHkc7YFHvxniIwWmY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OVIEDO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933</v>
      </c>
      <c r="E9" s="403">
        <f t="shared" ref="E9:E13" si="0">IF(ISNUMBER(D9/B9),D9/B9," - ")</f>
        <v>93.3</v>
      </c>
      <c r="F9" s="402">
        <f>IF(ISNUMBER(Datos!N9),Datos!N9," - ")</f>
        <v>891</v>
      </c>
      <c r="G9" s="403">
        <f t="shared" ref="G9:G13" si="1">IF(ISNUMBER(F9/B9),F9/B9," - ")</f>
        <v>89.1</v>
      </c>
      <c r="H9" s="402">
        <f>IF(ISNUMBER(Datos!O9),Datos!O9," - ")</f>
        <v>1516</v>
      </c>
      <c r="I9" s="403">
        <f>IF(ISNUMBER(H9/B9),H9/B9," - ")</f>
        <v>151.6</v>
      </c>
      <c r="BZ9" s="1185">
        <f>Datos!EZ9</f>
        <v>0</v>
      </c>
    </row>
    <row r="10" spans="1:78">
      <c r="A10" s="401" t="str">
        <f>Datos!A10</f>
        <v>Jdos. Violencia contra la mujer/Secc Viol. TI.</v>
      </c>
      <c r="B10" s="426">
        <f>Datos!AO10</f>
        <v>1</v>
      </c>
      <c r="C10" s="409">
        <f>Datos!AQ10</f>
        <v>1</v>
      </c>
      <c r="D10" s="402">
        <f>IF(ISNUMBER(Datos!M10),Datos!M10," - ")</f>
        <v>14</v>
      </c>
      <c r="E10" s="403">
        <f>IF(ISNUMBER(D10/B10),D10/B10," - ")</f>
        <v>14</v>
      </c>
      <c r="F10" s="402">
        <f>IF(ISNUMBER(Datos!N10),Datos!N10," - ")</f>
        <v>25</v>
      </c>
      <c r="G10" s="403">
        <f>IF(ISNUMBER(F10/B10),F10/B10," - ")</f>
        <v>25</v>
      </c>
      <c r="H10" s="402">
        <f>IF(ISNUMBER(Datos!O10),Datos!O10," - ")</f>
        <v>7</v>
      </c>
      <c r="I10" s="403">
        <f t="shared" ref="I10:I12" si="2">IF(ISNUMBER(H10/B10),H10/B10," - ")</f>
        <v>7</v>
      </c>
      <c r="BZ10" s="1185">
        <f>Datos!EZ10</f>
        <v>0</v>
      </c>
    </row>
    <row r="11" spans="1:78">
      <c r="A11" s="401" t="str">
        <f>Datos!A11</f>
        <v xml:space="preserve">Jdos. Familia                                   </v>
      </c>
      <c r="B11" s="426">
        <f>Datos!AO11</f>
        <v>2</v>
      </c>
      <c r="C11" s="409">
        <f>Datos!AQ11</f>
        <v>2</v>
      </c>
      <c r="D11" s="402">
        <f>IF(ISNUMBER(Datos!M11),Datos!M11," - ")</f>
        <v>92</v>
      </c>
      <c r="E11" s="403">
        <f t="shared" si="0"/>
        <v>46</v>
      </c>
      <c r="F11" s="402">
        <f>IF(ISNUMBER(Datos!N11),Datos!N11," - ")</f>
        <v>291</v>
      </c>
      <c r="G11" s="403">
        <f t="shared" si="1"/>
        <v>145.5</v>
      </c>
      <c r="H11" s="402">
        <f>IF(ISNUMBER(Datos!O11),Datos!O11," - ")</f>
        <v>108</v>
      </c>
      <c r="I11" s="403">
        <f t="shared" si="2"/>
        <v>54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1039</v>
      </c>
      <c r="E13" s="849">
        <f t="shared" si="0"/>
        <v>79.92307692307692</v>
      </c>
      <c r="F13" s="848">
        <f>SUBTOTAL(9,F9:F12)</f>
        <v>1207</v>
      </c>
      <c r="G13" s="849">
        <f t="shared" si="1"/>
        <v>92.84615384615384</v>
      </c>
      <c r="H13" s="848">
        <f>SUBTOTAL(9,H9:H12)</f>
        <v>1631</v>
      </c>
      <c r="I13" s="849">
        <f>IF(ISNUMBER(H13/B13),H13/B13," - ")</f>
        <v>125.46153846153847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362</v>
      </c>
      <c r="E15" s="403">
        <f t="shared" ref="E15:E18" si="3">IF(ISNUMBER(D15/B15),D15/B15," - ")</f>
        <v>90.5</v>
      </c>
      <c r="F15" s="402">
        <f>IF(ISNUMBER(Datos!N15),Datos!N15," - ")</f>
        <v>2091</v>
      </c>
      <c r="G15" s="403">
        <f t="shared" ref="G15:G18" si="4">IF(ISNUMBER(F15/B15),F15/B15," - ")</f>
        <v>522.75</v>
      </c>
      <c r="H15" s="402">
        <f>IF(ISNUMBER(Datos!O15),Datos!O15," - ")</f>
        <v>72</v>
      </c>
      <c r="I15" s="403">
        <f t="shared" ref="I15:I17" si="5">IF(ISNUMBER(H15/B15),H15/B15," - ")</f>
        <v>18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49</v>
      </c>
      <c r="E17" s="403">
        <f>IF(ISNUMBER(D17/B17),D17/B17," - ")</f>
        <v>49</v>
      </c>
      <c r="F17" s="402">
        <f>IF(ISNUMBER(Datos!N17),Datos!N17," - ")</f>
        <v>128</v>
      </c>
      <c r="G17" s="403">
        <f>IF(ISNUMBER(F17/B17),F17/B17," - ")</f>
        <v>128</v>
      </c>
      <c r="H17" s="402">
        <f>IF(ISNUMBER(Datos!O17),Datos!O17," - ")</f>
        <v>7</v>
      </c>
      <c r="I17" s="403">
        <f t="shared" si="5"/>
        <v>7</v>
      </c>
      <c r="BZ17" s="1185">
        <f>Datos!EZ17</f>
        <v>0</v>
      </c>
    </row>
    <row r="18" spans="1:78" ht="14.25" thickTop="1" thickBot="1">
      <c r="A18" s="847" t="str">
        <f>Datos!A18</f>
        <v>TOTAL</v>
      </c>
      <c r="B18" s="848">
        <f>Datos!AP18</f>
        <v>5</v>
      </c>
      <c r="C18" s="850">
        <f>Datos!AR18</f>
        <v>5</v>
      </c>
      <c r="D18" s="848">
        <f>SUBTOTAL(9,D15:D17)</f>
        <v>411</v>
      </c>
      <c r="E18" s="849">
        <f t="shared" si="3"/>
        <v>82.2</v>
      </c>
      <c r="F18" s="848">
        <f>SUBTOTAL(9,F15:F17)</f>
        <v>2219</v>
      </c>
      <c r="G18" s="849">
        <f t="shared" si="4"/>
        <v>443.8</v>
      </c>
      <c r="H18" s="848">
        <f>SUBTOTAL(9,H15:H17)</f>
        <v>79</v>
      </c>
      <c r="I18" s="849">
        <f>IF(ISNUMBER(H18/B18),H18/B18," - ")</f>
        <v>15.8</v>
      </c>
      <c r="BZ18" s="1185"/>
    </row>
    <row r="19" spans="1:78" ht="14.25" thickTop="1" thickBot="1">
      <c r="A19" s="792" t="str">
        <f>Datos!A19</f>
        <v>TOTAL JURISDICCIONES</v>
      </c>
      <c r="B19" s="793">
        <f>Datos!AP19</f>
        <v>17</v>
      </c>
      <c r="C19" s="793">
        <f>Datos!AR19</f>
        <v>17</v>
      </c>
      <c r="D19" s="793">
        <f>SUBTOTAL(9,D8:D18)</f>
        <v>1450</v>
      </c>
      <c r="E19" s="794">
        <f>IF(ISNUMBER(D19/B19),D19/B19," - ")</f>
        <v>85.294117647058826</v>
      </c>
      <c r="F19" s="793">
        <f>SUBTOTAL(9,F8:F18)</f>
        <v>3426</v>
      </c>
      <c r="G19" s="794">
        <f>IF(ISNUMBER(F19/B19),F19/B19," - ")</f>
        <v>201.52941176470588</v>
      </c>
      <c r="H19" s="793">
        <f>SUBTOTAL(9,H8:H18)</f>
        <v>1710</v>
      </c>
      <c r="I19" s="794">
        <f>IF(ISNUMBER(H19/B19),H19/B19," - ")</f>
        <v>100.58823529411765</v>
      </c>
    </row>
    <row r="22" spans="1:78">
      <c r="A22" s="390" t="str">
        <f>Criterios!A4</f>
        <v>Fecha Informe: 09 dic. 2025</v>
      </c>
    </row>
    <row r="27" spans="1:78">
      <c r="A27" s="413"/>
    </row>
  </sheetData>
  <sheetProtection algorithmName="SHA-512" hashValue="pe7SV/4FGQ4NVsAr2PDZ+6H2uhtUXfkx6bbr5GSgJcYmSKjIfp/6qZlr0L/A+2BaZ1kpcd+Cv7RwWYAl0NjRbg==" saltValue="Fu+9ZDZHOCNu7cK/JHWq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OVIEDO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1221</v>
      </c>
      <c r="C9" s="433">
        <f>IF(ISNUMBER(Datos!Q9),Datos!Q9," - ")</f>
        <v>1305</v>
      </c>
      <c r="D9" s="407">
        <f>IF(ISNUMBER(Datos!R9),Datos!R9," - ")</f>
        <v>11640</v>
      </c>
    </row>
    <row r="10" spans="1:4">
      <c r="A10" s="401" t="str">
        <f>Datos!A10</f>
        <v>Jdos. Violencia contra la mujer/Secc Viol. TI.</v>
      </c>
      <c r="B10" s="432">
        <f>IF(ISNUMBER(Datos!P10),Datos!P10," - ")</f>
        <v>7</v>
      </c>
      <c r="C10" s="433">
        <f>IF(ISNUMBER(Datos!Q10),Datos!Q10," - ")</f>
        <v>2</v>
      </c>
      <c r="D10" s="407">
        <f>IF(ISNUMBER(Datos!R10),Datos!R10," - ")</f>
        <v>47</v>
      </c>
    </row>
    <row r="11" spans="1:4">
      <c r="A11" s="401" t="str">
        <f>Datos!A11</f>
        <v xml:space="preserve">Jdos. Familia                                   </v>
      </c>
      <c r="B11" s="432">
        <f>IF(ISNUMBER(Datos!P11),Datos!P11," - ")</f>
        <v>28</v>
      </c>
      <c r="C11" s="433">
        <f>IF(ISNUMBER(Datos!Q11),Datos!Q11," - ")</f>
        <v>35</v>
      </c>
      <c r="D11" s="407">
        <f>IF(ISNUMBER(Datos!R11),Datos!R11," - ")</f>
        <v>311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1256</v>
      </c>
      <c r="C13" s="852">
        <f>SUBTOTAL(9,C9:C12)</f>
        <v>1342</v>
      </c>
      <c r="D13" s="850">
        <f>SUBTOTAL(9,D9:D12)</f>
        <v>11998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120</v>
      </c>
      <c r="C15" s="433">
        <f>IF(ISNUMBER(Datos!Q15),Datos!Q15," - ")</f>
        <v>107</v>
      </c>
      <c r="D15" s="407">
        <f>IF(ISNUMBER(Datos!R15),Datos!R15," - ")</f>
        <v>732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7</v>
      </c>
      <c r="D17" s="407">
        <f>IF(ISNUMBER(Datos!R17),Datos!R17," - ")</f>
        <v>9</v>
      </c>
    </row>
    <row r="18" spans="1:4" ht="14.25" thickTop="1" thickBot="1">
      <c r="A18" s="847" t="str">
        <f>Datos!A18</f>
        <v>TOTAL</v>
      </c>
      <c r="B18" s="848">
        <f>SUBTOTAL(9,B15:B17)</f>
        <v>125</v>
      </c>
      <c r="C18" s="852">
        <f>SUBTOTAL(9,C15:C17)</f>
        <v>114</v>
      </c>
      <c r="D18" s="850">
        <f>SUBTOTAL(9,D15:D17)</f>
        <v>741</v>
      </c>
    </row>
    <row r="19" spans="1:4" ht="16.5" customHeight="1" thickTop="1" thickBot="1">
      <c r="A19" s="792" t="str">
        <f>Datos!A19</f>
        <v>TOTAL JURISDICCIONES</v>
      </c>
      <c r="B19" s="797">
        <f>SUBTOTAL(9,B8:B18)</f>
        <v>1381</v>
      </c>
      <c r="C19" s="798">
        <f>SUBTOTAL(9,C8:C18)</f>
        <v>1456</v>
      </c>
      <c r="D19" s="799">
        <f>SUBTOTAL(9,D8:D18)</f>
        <v>12739</v>
      </c>
    </row>
    <row r="20" spans="1:4" ht="7.5" customHeight="1"/>
    <row r="21" spans="1:4" ht="6" customHeight="1"/>
    <row r="22" spans="1:4">
      <c r="A22" s="390" t="str">
        <f>Criterios!A4</f>
        <v>Fecha Informe: 09 dic. 2025</v>
      </c>
    </row>
    <row r="27" spans="1:4">
      <c r="A27" s="413"/>
    </row>
  </sheetData>
  <sheetProtection algorithmName="SHA-512" hashValue="rG6z5NVnV8JFcpOF3wN1VzZAS2JRTp66gEby+RriNK91xYmV3qDhwGf9TBO+JJ/iGXRupPsv6BzXuGsW/sUwrA==" saltValue="hqi6B4mAyQJOWsuYFWlN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OVIEDO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-5.6921995783555869E-2</v>
      </c>
      <c r="C9" s="455">
        <f>IF(ISNUMBER(
   IF(J_V="SI",(Datos!J9-Datos!T9)/Datos!T9,(Datos!J9+Datos!Z9-(Datos!T9+Datos!AH9))/(Datos!T9+Datos!AH9))
     ),IF(J_V="SI",(Datos!J9-Datos!T9)/Datos!T9,(Datos!J9+Datos!Z9-(Datos!T9+Datos!AH9))/(Datos!T9+Datos!AH9))," - ")</f>
        <v>-0.32111745268849506</v>
      </c>
      <c r="D9" s="455">
        <f>IF(ISNUMBER(
   IF(J_V="SI",(Datos!K9-Datos!U9)/Datos!U9,(Datos!K9+Datos!AA9-(Datos!U9+Datos!AI9))/(Datos!U9+Datos!AI9))
     ),IF(J_V="SI",(Datos!K9-Datos!U9)/Datos!U9,(Datos!K9+Datos!AA9-(Datos!U9+Datos!AI9))/(Datos!U9+Datos!AI9))," - ")</f>
        <v>-7.4690150032615782E-2</v>
      </c>
      <c r="E9" s="455">
        <f>IF(ISNUMBER(
   IF(J_V="SI",(Datos!L9-Datos!V9)/Datos!V9,(Datos!L9+Datos!AB9-(Datos!V9+Datos!AJ9))/(Datos!V9+Datos!AJ9))
     ),IF(J_V="SI",(Datos!L9-Datos!V9)/Datos!V9,(Datos!L9+Datos!AB9-(Datos!V9+Datos!AJ9))/(Datos!V9+Datos!AJ9))," - ")</f>
        <v>-0.21006564551422319</v>
      </c>
      <c r="F9" s="455">
        <f>IF(ISNUMBER((Datos!M9-Datos!W9)/Datos!W9),(Datos!M9-Datos!W9)/Datos!W9," - ")</f>
        <v>-0.12885154061624648</v>
      </c>
      <c r="G9" s="456">
        <f>IF(ISNUMBER((Datos!N9-Datos!X9)/Datos!X9),(Datos!N9-Datos!X9)/Datos!X9," - ")</f>
        <v>-8.8987764182424916E-3</v>
      </c>
      <c r="H9" s="454">
        <f>IF(ISNUMBER(((NºAsuntos!G9/NºAsuntos!E9)-Datos!BD9)/Datos!BD9),((NºAsuntos!G9/NºAsuntos!E9)-Datos!BD9)/Datos!BD9," - ")</f>
        <v>0.36298959758470012</v>
      </c>
      <c r="I9" s="455">
        <f>IF(ISNUMBER(((NºAsuntos!I9/NºAsuntos!G9)-Datos!BE9)/Datos!BE9),((NºAsuntos!I9/NºAsuntos!G9)-Datos!BE9)/Datos!BE9," - ")</f>
        <v>-0.14630287950180063</v>
      </c>
      <c r="J9" s="460">
        <f>IF(ISNUMBER((('Resol  Asuntos'!D9/NºAsuntos!G9)-Datos!BF9)/Datos!BF9),(('Resol  Asuntos'!D9/NºAsuntos!G9)-Datos!BF9)/Datos!BF9," - ")</f>
        <v>0.12159164826151166</v>
      </c>
      <c r="K9" s="461">
        <f>IF(ISNUMBER((((NºAsuntos!C9+NºAsuntos!E9)/NºAsuntos!G9)-Datos!BG9)/Datos!BG9),(((NºAsuntos!C9+NºAsuntos!E9)/NºAsuntos!G9)-Datos!BG9)/Datos!BG9," - ")</f>
        <v>-8.6162835419035647E-2</v>
      </c>
    </row>
    <row r="10" spans="1:11" ht="21">
      <c r="A10" s="401" t="str">
        <f>Datos!A10</f>
        <v>Jdos. Violencia contra la mujer/Secc Viol. TI.</v>
      </c>
      <c r="B10" s="454">
        <f>IF(ISNUMBER((Datos!I10-Datos!S10)/Datos!S10),(Datos!I10-Datos!S10)/Datos!S10," - ")</f>
        <v>-0.27433628318584069</v>
      </c>
      <c r="C10" s="455">
        <f>IF(ISNUMBER((Datos!J10-Datos!T10)/Datos!T10),(Datos!J10-Datos!T10)/Datos!T10," - ")</f>
        <v>-7.6923076923076927E-2</v>
      </c>
      <c r="D10" s="455">
        <f>IF(ISNUMBER((Datos!K10-Datos!U10)/Datos!U10),(Datos!K10-Datos!U10)/Datos!U10," - ")</f>
        <v>0.27777777777777779</v>
      </c>
      <c r="E10" s="455">
        <f>IF(ISNUMBER((Datos!L10-Datos!V10)/Datos!V10),(Datos!L10-Datos!V10)/Datos!V10," - ")</f>
        <v>-0.37931034482758619</v>
      </c>
      <c r="F10" s="455">
        <f>IF(ISNUMBER((Datos!M10-Datos!W10)/Datos!W10),(Datos!M10-Datos!W10)/Datos!W10," - ")</f>
        <v>0.4</v>
      </c>
      <c r="G10" s="456">
        <f>IF(ISNUMBER((Datos!N10-Datos!X10)/Datos!X10),(Datos!N10-Datos!X10)/Datos!X10," - ")</f>
        <v>0.7857142857142857</v>
      </c>
      <c r="H10" s="454">
        <f>IF(ISNUMBER(((NºAsuntos!G10/NºAsuntos!E10)-Datos!BD10)/Datos!BD10),((NºAsuntos!G10/NºAsuntos!E10)-Datos!BD10)/Datos!BD10," - ")</f>
        <v>0.38425925925925908</v>
      </c>
      <c r="I10" s="455">
        <f>IF(ISNUMBER(((NºAsuntos!I10/NºAsuntos!G10)-Datos!BE10)/Datos!BE10),((NºAsuntos!I10/NºAsuntos!G10)-Datos!BE10)/Datos!BE10," - ")</f>
        <v>-0.5142428785607196</v>
      </c>
      <c r="J10" s="460">
        <f>IF(ISNUMBER((('Resol  Asuntos'!D10/NºAsuntos!G10)-Datos!BF10)/Datos!BF10),(('Resol  Asuntos'!D10/NºAsuntos!G10)-Datos!BF10)/Datos!BF10," - ")</f>
        <v>9.5652173913043495E-2</v>
      </c>
      <c r="K10" s="461">
        <f>IF(ISNUMBER((((NºAsuntos!C10+NºAsuntos!E10)/NºAsuntos!G10)-Datos!BG10)/Datos!BG10),(((NºAsuntos!C10+NºAsuntos!E10)/NºAsuntos!G10)-Datos!BG10)/Datos!BG10," - ")</f>
        <v>-0.39244851258581243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-0.27433628318584069</v>
      </c>
      <c r="C11" s="455">
        <f>IF(ISNUMBER(
   IF(J_V="SI",(Datos!J11-Datos!T11)/Datos!T11,(Datos!J11+Datos!Z11-(Datos!T11+Datos!AH11))/(Datos!T11+Datos!AH11))
     ),IF(J_V="SI",(Datos!J11-Datos!T11)/Datos!T11,(Datos!J11+Datos!Z11-(Datos!T11+Datos!AH11))/(Datos!T11+Datos!AH11))," - ")</f>
        <v>-1.9027484143763214E-2</v>
      </c>
      <c r="D11" s="455">
        <f>IF(ISNUMBER(
   IF(J_V="SI",(Datos!K11-Datos!U11)/Datos!U11,(Datos!K11+Datos!AA11-(Datos!U11+Datos!AI11))/(Datos!U11+Datos!AI11))
     ),IF(J_V="SI",(Datos!K11-Datos!U11)/Datos!U11,(Datos!K11+Datos!AA11-(Datos!U11+Datos!AI11))/(Datos!U11+Datos!AI11))," - ")</f>
        <v>-5.7815845824411134E-2</v>
      </c>
      <c r="E11" s="455">
        <f>IF(ISNUMBER(
   IF(J_V="SI",(Datos!L11-Datos!V11)/Datos!V11,(Datos!L11+Datos!AB11-(Datos!V11+Datos!AJ11))/(Datos!V11+Datos!AJ11))
     ),IF(J_V="SI",(Datos!L11-Datos!V11)/Datos!V11,(Datos!L11+Datos!AB11-(Datos!V11+Datos!AJ11))/(Datos!V11+Datos!AJ11))," - ")</f>
        <v>-0.23144104803493451</v>
      </c>
      <c r="F11" s="455">
        <f>IF(ISNUMBER((Datos!M11-Datos!W11)/Datos!W11),(Datos!M11-Datos!W11)/Datos!W11," - ")</f>
        <v>-6.1224489795918366E-2</v>
      </c>
      <c r="G11" s="456">
        <f>IF(ISNUMBER((Datos!N11-Datos!X11)/Datos!X11),(Datos!N11-Datos!X11)/Datos!X11," - ")</f>
        <v>-0.224</v>
      </c>
      <c r="H11" s="454">
        <f>IF(ISNUMBER(((NºAsuntos!G11/NºAsuntos!E11)-Datos!BD11)/Datos!BD11),((NºAsuntos!G11/NºAsuntos!E11)-Datos!BD11)/Datos!BD11," - ")</f>
        <v>-3.9540722144281136E-2</v>
      </c>
      <c r="I11" s="455">
        <f>IF(ISNUMBER(((NºAsuntos!I11/NºAsuntos!G11)-Datos!BE11)/Datos!BE11),((NºAsuntos!I11/NºAsuntos!G11)-Datos!BE11)/Datos!BE11," - ")</f>
        <v>-0.18427947598253266</v>
      </c>
      <c r="J11" s="460">
        <f>IF(ISNUMBER((('Resol  Asuntos'!D11/NºAsuntos!G11)-Datos!BF11)/Datos!BF11),(('Resol  Asuntos'!D11/NºAsuntos!G11)-Datos!BF11)/Datos!BF11," - ")</f>
        <v>-0.73961212121212117</v>
      </c>
      <c r="K11" s="461">
        <f>IF(ISNUMBER((((NºAsuntos!C11+NºAsuntos!E11)/NºAsuntos!G11)-Datos!BG11)/Datos!BG11),(((NºAsuntos!C11+NºAsuntos!E11)/NºAsuntos!G11)-Datos!BG11)/Datos!BG11," - ")</f>
        <v>-9.1243243243243261E-2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-7.6554259229662774E-2</v>
      </c>
      <c r="C13" s="854">
        <f>IF(ISNUMBER(
   IF(J_V="SI",(Datos!J13-Datos!T13)/Datos!T13,(Datos!J13+Datos!Z13-(Datos!T13+Datos!AH13))/(Datos!T13+Datos!AH13))
     ),IF(J_V="SI",(Datos!J13-Datos!T13)/Datos!T13,(Datos!J13+Datos!Z13-(Datos!T13+Datos!AH13))/(Datos!T13+Datos!AH13))," - ")</f>
        <v>-0.28143712574850299</v>
      </c>
      <c r="D13" s="854">
        <f>IF(ISNUMBER(
   IF(J_V="SI",(Datos!K13-Datos!U13)/Datos!U13,(Datos!K13+Datos!AA13-(Datos!U13+Datos!AI13))/(Datos!U13+Datos!AI13))
     ),IF(J_V="SI",(Datos!K13-Datos!U13)/Datos!U13,(Datos!K13+Datos!AA13-(Datos!U13+Datos!AI13))/(Datos!U13+Datos!AI13))," - ")</f>
        <v>-6.8926870271784818E-2</v>
      </c>
      <c r="E13" s="854">
        <f>IF(ISNUMBER(
   IF(J_V="SI",(Datos!L13-Datos!V13)/Datos!V13,(Datos!L13+Datos!AB13-(Datos!V13+Datos!AJ13))/(Datos!V13+Datos!AJ13))
     ),IF(J_V="SI",(Datos!L13-Datos!V13)/Datos!V13,(Datos!L13+Datos!AB13-(Datos!V13+Datos!AJ13))/(Datos!V13+Datos!AJ13))," - ")</f>
        <v>-0.21458173445894091</v>
      </c>
      <c r="F13" s="855">
        <f>IF(ISNUMBER((Datos!M13-Datos!W13)/Datos!W13),(Datos!M13-Datos!W13)/Datos!W13," - ")</f>
        <v>-0.11874469889737066</v>
      </c>
      <c r="G13" s="856">
        <f>IF(ISNUMBER((Datos!N13-Datos!X13)/Datos!X13),(Datos!N13-Datos!X13)/Datos!X13," - ")</f>
        <v>-6.2888198757763969E-2</v>
      </c>
      <c r="H13" s="856">
        <f>IF(ISNUMBER(((NºAsuntos!G13/NºAsuntos!E13)-Datos!BD13)/Datos!BD13),((NºAsuntos!G13/NºAsuntos!E13)-Datos!BD13)/Datos!BD13," - ")</f>
        <v>0.29574343887176602</v>
      </c>
      <c r="I13" s="856">
        <f>IF(ISNUMBER(((NºAsuntos!I13/NºAsuntos!G13)-Datos!BE13)/Datos!BE13),((NºAsuntos!I13/NºAsuntos!G13)-Datos!BE13)/Datos!BE13," - ")</f>
        <v>-0.15643761970627759</v>
      </c>
      <c r="J13" s="856">
        <f>IF(ISNUMBER((('Resol  Asuntos'!D13/NºAsuntos!G13)-Datos!BF13)/Datos!BF13),(('Resol  Asuntos'!D13/NºAsuntos!G13)-Datos!BF13)/Datos!BF13," - ")</f>
        <v>-0.13090604237622613</v>
      </c>
      <c r="K13" s="856">
        <f>IF(ISNUMBER((((NºAsuntos!C13+NºAsuntos!E13)/NºAsuntos!G13)-Datos!BG13)/Datos!BG13),(((NºAsuntos!C13+NºAsuntos!E13)/NºAsuntos!G13)-Datos!BG13)/Datos!BG13," - ")</f>
        <v>-9.1893068154773605E-2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-0.1140819964349376</v>
      </c>
      <c r="C15" s="455">
        <f>IF(ISNUMBER(
   IF(D_I="SI",(Datos!J15-Datos!T15)/Datos!T15,(Datos!J15+Datos!AD15-(Datos!T15+Datos!AL15))/(Datos!T15+Datos!AL15))
     ),IF(D_I="SI",(Datos!J15-Datos!T15)/Datos!T15,(Datos!J15+Datos!AD15-(Datos!T15+Datos!AL15))/(Datos!T15+Datos!AL15))," - ")</f>
        <v>3.9013004334778258E-2</v>
      </c>
      <c r="D15" s="455">
        <f>IF(ISNUMBER(
   IF(D_I="SI",(Datos!K15-Datos!U15)/Datos!U15,(Datos!K15+Datos!AE15-(Datos!U15+Datos!AM15))/(Datos!U15+Datos!AM15))
     ),IF(D_I="SI",(Datos!K15-Datos!U15)/Datos!U15,(Datos!K15+Datos!AE15-(Datos!U15+Datos!AM15))/(Datos!U15+Datos!AM15))," - ")</f>
        <v>7.6788830715532289E-2</v>
      </c>
      <c r="E15" s="455">
        <f>IF(ISNUMBER(
   IF(D_I="SI",(Datos!L15-Datos!V15)/Datos!V15,(Datos!L15+Datos!AF15-(Datos!V15+Datos!AN15))/(Datos!V15+Datos!AN15))
     ),IF(D_I="SI",(Datos!L15-Datos!V15)/Datos!V15,(Datos!L15+Datos!AF15-(Datos!V15+Datos!AN15))/(Datos!V15+Datos!AN15))," - ")</f>
        <v>-0.13268062120189061</v>
      </c>
      <c r="F15" s="455">
        <f>IF(ISNUMBER((Datos!M15-Datos!W15)/Datos!W15),(Datos!M15-Datos!W15)/Datos!W15," - ")</f>
        <v>5.5555555555555558E-3</v>
      </c>
      <c r="G15" s="456">
        <f>IF(ISNUMBER((Datos!N15-Datos!X15)/Datos!X15),(Datos!N15-Datos!X15)/Datos!X15," - ")</f>
        <v>0.10284810126582279</v>
      </c>
      <c r="H15" s="454">
        <f>IF(ISNUMBER(((NºAsuntos!G15/NºAsuntos!E15)-Datos!BD15)/Datos!BD15),((NºAsuntos!G15/NºAsuntos!E15)-Datos!BD15)/Datos!BD15," - ")</f>
        <v>3.6357414414596008E-2</v>
      </c>
      <c r="I15" s="455">
        <f>IF(ISNUMBER(((NºAsuntos!I15/NºAsuntos!G15)-Datos!BE15)/Datos!BE15),((NºAsuntos!I15/NºAsuntos!G15)-Datos!BE15)/Datos!BE15," - ")</f>
        <v>-0.19453159797193406</v>
      </c>
      <c r="J15" s="460">
        <f>IF(ISNUMBER((('Resol  Asuntos'!D15/NºAsuntos!G15)-Datos!BF15)/Datos!BF15),(('Resol  Asuntos'!D15/NºAsuntos!G15)-Datos!BF15)/Datos!BF15," - ")</f>
        <v>-6.615343057806583E-2</v>
      </c>
      <c r="K15" s="461">
        <f>IF(ISNUMBER((((NºAsuntos!C15+NºAsuntos!E15)/NºAsuntos!G15)-Datos!BG15)/Datos!BG15),(((NºAsuntos!C15+NºAsuntos!E15)/NºAsuntos!G15)-Datos!BG15)/Datos!BG15," - ")</f>
        <v>-0.10379445461521532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-0.10795454545454546</v>
      </c>
      <c r="C17" s="455">
        <f>IF(ISNUMBER(
   IF(D_I="SI",(Datos!J17-Datos!T17)/Datos!T17,(Datos!J17+Datos!AD17-(Datos!T17+Datos!AL17))/(Datos!T17+Datos!AL17))
     ),IF(D_I="SI",(Datos!J17-Datos!T17)/Datos!T17,(Datos!J17+Datos!AD17-(Datos!T17+Datos!AL17))/(Datos!T17+Datos!AL17))," - ")</f>
        <v>-2.8328611898016999E-3</v>
      </c>
      <c r="D17" s="455">
        <f>IF(ISNUMBER(
   IF(D_I="SI",(Datos!K17-Datos!U17)/Datos!U17,(Datos!K17+Datos!AE17-(Datos!U17+Datos!AM17))/(Datos!U17+Datos!AM17))
     ),IF(D_I="SI",(Datos!K17-Datos!U17)/Datos!U17,(Datos!K17+Datos!AE17-(Datos!U17+Datos!AM17))/(Datos!U17+Datos!AM17))," - ")</f>
        <v>-4.4378698224852069E-2</v>
      </c>
      <c r="E17" s="455">
        <f>IF(ISNUMBER(
   IF(D_I="SI",(Datos!L17-Datos!V17)/Datos!V17,(Datos!L17+Datos!AF17-(Datos!V17+Datos!AN17))/(Datos!V17+Datos!AN17))
     ),IF(D_I="SI",(Datos!L17-Datos!V17)/Datos!V17,(Datos!L17+Datos!AF17-(Datos!V17+Datos!AN17))/(Datos!V17+Datos!AN17))," - ")</f>
        <v>-2.6178010471204188E-2</v>
      </c>
      <c r="F17" s="455">
        <f>IF(ISNUMBER((Datos!M17-Datos!W17)/Datos!W17),(Datos!M17-Datos!W17)/Datos!W17," - ")</f>
        <v>-7.5471698113207544E-2</v>
      </c>
      <c r="G17" s="456">
        <f>IF(ISNUMBER((Datos!N17-Datos!X17)/Datos!X17),(Datos!N17-Datos!X17)/Datos!X17," - ")</f>
        <v>-0.34020618556701032</v>
      </c>
      <c r="H17" s="454">
        <f>IF(ISNUMBER(((NºAsuntos!G17/NºAsuntos!E17)-Datos!BD17)/Datos!BD17),((NºAsuntos!G17/NºAsuntos!E17)-Datos!BD17)/Datos!BD17," - ")</f>
        <v>-4.1663864981172714E-2</v>
      </c>
      <c r="I17" s="455">
        <f>IF(ISNUMBER(((NºAsuntos!I17/NºAsuntos!G17)-Datos!BE17)/Datos!BE17),((NºAsuntos!I17/NºAsuntos!G17)-Datos!BE17)/Datos!BE17," - ")</f>
        <v>1.904592093106185E-2</v>
      </c>
      <c r="J17" s="460">
        <f>IF(ISNUMBER((('Resol  Asuntos'!D17/NºAsuntos!G17)-Datos!BF17)/Datos!BF17),(('Resol  Asuntos'!D17/NºAsuntos!G17)-Datos!BF17)/Datos!BF17," - ")</f>
        <v>-3.2536947251591751E-2</v>
      </c>
      <c r="K17" s="461">
        <f>IF(ISNUMBER((((NºAsuntos!C17+NºAsuntos!E17)/NºAsuntos!G17)-Datos!BG17)/Datos!BG17),(((NºAsuntos!C17+NºAsuntos!E17)/NºAsuntos!G17)-Datos!BG17)/Datos!BG17," - ")</f>
        <v>6.8766935686819953E-3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-0.11372022811137203</v>
      </c>
      <c r="C18" s="854">
        <f>IF(ISNUMBER(
   IF(Criterios!B14="SI",(Datos!J18-Datos!T18)/Datos!T18,(Datos!J18+Datos!AD18-(Datos!T18+Datos!AL18))/(Datos!T18+Datos!AL18))
     ),IF(Criterios!B14="SI",(Datos!J18-Datos!T18)/Datos!T18,(Datos!J18+Datos!AD18-(Datos!T18+Datos!AL18))/(Datos!T18+Datos!AL18))," - ")</f>
        <v>3.4606205250596656E-2</v>
      </c>
      <c r="D18" s="854">
        <f>IF(ISNUMBER(
   IF(Criterios!B14="SI",(Datos!K18-Datos!U18)/Datos!U18,(Datos!K18+Datos!AE18-(Datos!U18+Datos!AM18))/(Datos!U18+Datos!AM18))
     ),IF(Criterios!B14="SI",(Datos!K18-Datos!U18)/Datos!U18,(Datos!K18+Datos!AE18-(Datos!U18+Datos!AM18))/(Datos!U18+Datos!AM18))," - ")</f>
        <v>6.4002497658445207E-2</v>
      </c>
      <c r="E18" s="854">
        <f>IF(ISNUMBER(
   IF(Criterios!B14="SI",(Datos!L18-Datos!V18)/Datos!V18,(Datos!L18+Datos!AF18-(Datos!V18+Datos!AN18))/(Datos!V18+Datos!AN18))
     ),IF(Criterios!B14="SI",(Datos!L18-Datos!V18)/Datos!V18,(Datos!L18+Datos!AF18-(Datos!V18+Datos!AN18))/(Datos!V18+Datos!AN18))," - ")</f>
        <v>-0.12622898826514431</v>
      </c>
      <c r="F18" s="855">
        <f>IF(ISNUMBER((Datos!M18-Datos!W18)/Datos!W18),(Datos!M18-Datos!W18)/Datos!W18," - ")</f>
        <v>-4.8426150121065378E-3</v>
      </c>
      <c r="G18" s="856">
        <f>IF(ISNUMBER((Datos!N18-Datos!X18)/Datos!X18),(Datos!N18-Datos!X18)/Datos!X18," - ")</f>
        <v>6.1722488038277512E-2</v>
      </c>
      <c r="H18" s="856">
        <f>IF(ISNUMBER(((NºAsuntos!G18/NºAsuntos!E18)-Datos!BD18)/Datos!BD18),((NºAsuntos!G18/NºAsuntos!E18)-Datos!BD18)/Datos!BD18," - ")</f>
        <v>2.8413025418427926E-2</v>
      </c>
      <c r="I18" s="856">
        <f>IF(ISNUMBER(((NºAsuntos!I18/NºAsuntos!G18)-Datos!BE18)/Datos!BE18),((NºAsuntos!I18/NºAsuntos!G18)-Datos!BE18)/Datos!BE18," - ")</f>
        <v>-0.1787885708372233</v>
      </c>
      <c r="J18" s="856">
        <f>IF(ISNUMBER((('Resol  Asuntos'!D18/NºAsuntos!G18)-Datos!BF18)/Datos!BF18),(('Resol  Asuntos'!D18/NºAsuntos!G18)-Datos!BF18)/Datos!BF18," - ")</f>
        <v>-6.4703901374347644E-2</v>
      </c>
      <c r="K18" s="856">
        <f>IF(ISNUMBER((((NºAsuntos!C18+NºAsuntos!E18)/NºAsuntos!G18)-Datos!BG18)/Datos!BG18),(((NºAsuntos!C18+NºAsuntos!E18)/NºAsuntos!G18)-Datos!BG18)/Datos!BG18," - ")</f>
        <v>-9.3246846201690381E-2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-8.8547304611387739E-2</v>
      </c>
      <c r="C19" s="801">
        <f>IF(ISNUMBER(
   IF(J_V="SI",(Datos!J19-Datos!T19)/Datos!T19,(Datos!J19+Datos!Z19-(Datos!T19+Datos!AH19))/(Datos!T19+Datos!AH19))
     ),IF(J_V="SI",(Datos!J19-Datos!T19)/Datos!T19,(Datos!J19+Datos!Z19-(Datos!T19+Datos!AH19))/(Datos!T19+Datos!AH19))," - ")</f>
        <v>-0.13415820937022105</v>
      </c>
      <c r="D19" s="801">
        <f>IF(ISNUMBER(
   IF(J_V="SI",(Datos!K19-Datos!U19)/Datos!U19,(Datos!K19+Datos!AA19-(Datos!U19+Datos!AI19))/(Datos!U19+Datos!AI19))
     ),IF(J_V="SI",(Datos!K19-Datos!U19)/Datos!U19,(Datos!K19+Datos!AA19-(Datos!U19+Datos!AI19))/(Datos!U19+Datos!AI19))," - ")</f>
        <v>-6.0543414057885412E-3</v>
      </c>
      <c r="E19" s="801">
        <f>IF(ISNUMBER(
   IF(J_V="SI",(Datos!L19-Datos!V19)/Datos!V19,(Datos!L19+Datos!AB19-(Datos!V19+Datos!AJ19))/(Datos!V19+Datos!AJ19))
     ),IF(J_V="SI",(Datos!L19-Datos!V19)/Datos!V19,(Datos!L19+Datos!AB19-(Datos!V19+Datos!AJ19))/(Datos!V19+Datos!AJ19))," - ")</f>
        <v>-0.18576748034753826</v>
      </c>
      <c r="F19" s="802">
        <f>IF(ISNUMBER((Datos!M19-Datos!W19)/Datos!W19),(Datos!M19-Datos!W19)/Datos!W19," - ")</f>
        <v>-8.9195979899497485E-2</v>
      </c>
      <c r="G19" s="803">
        <f>IF(ISNUMBER((Datos!N19-Datos!X19)/Datos!X19),(Datos!N19-Datos!X19)/Datos!X19," - ")</f>
        <v>1.4209591474245116E-2</v>
      </c>
      <c r="H19" s="804">
        <f>IF(ISNUMBER((Tasas!B19-Datos!BD19)/Datos!BD19),(Tasas!B19-Datos!BD19)/Datos!BD19," - ")</f>
        <v>0.14795297403149707</v>
      </c>
      <c r="I19" s="805">
        <f>IF(ISNUMBER((Tasas!C19-Datos!BE19)/Datos!BE19),(Tasas!C19-Datos!BE19)/Datos!BE19," - ")</f>
        <v>-0.18080781115934164</v>
      </c>
      <c r="J19" s="806">
        <f>IF(ISNUMBER((Tasas!D19-Datos!BF19)/Datos!BF19),(Tasas!D19-Datos!BF19)/Datos!BF19," - ")</f>
        <v>-0.14034633552861905</v>
      </c>
      <c r="K19" s="806">
        <f>IF(ISNUMBER((Tasas!E19-Datos!BG19)/Datos!BG19),(Tasas!E19-Datos!BG19)/Datos!BG19," - ")</f>
        <v>-0.10308415880960886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aXZyTxDSrjM85K7XAeb4L6S54hgfC8nfVSRJGfL0VTI+XFaU+7OsEp4JFdWv18ruzTZLNyjy1EFrFpkBv2JDQ==" saltValue="Dfg8Eb9yHVmnMOvalA5u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OVIEDO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1.2553097345132744</v>
      </c>
      <c r="C9" s="442">
        <f>IF(ISNUMBER(NºAsuntos!I9/NºAsuntos!G9),NºAsuntos!I9/NºAsuntos!G9," - ")</f>
        <v>1.6542121959816707</v>
      </c>
      <c r="D9" s="443">
        <f>IF(ISNUMBER('Resol  Asuntos'!D9/NºAsuntos!G9),'Resol  Asuntos'!D9/NºAsuntos!G9," - ")</f>
        <v>0.32886852308776876</v>
      </c>
      <c r="E9" s="444">
        <f>IF(ISNUMBER((NºAsuntos!C9+NºAsuntos!E9)/NºAsuntos!G9),(NºAsuntos!C9+NºAsuntos!E9)/NºAsuntos!G9," - ")</f>
        <v>2.6887557278815652</v>
      </c>
      <c r="G9" s="462"/>
    </row>
    <row r="10" spans="1:7" ht="21">
      <c r="A10" s="401" t="str">
        <f>Datos!A10</f>
        <v>Jdos. Violencia contra la mujer/Secc Viol. TI.</v>
      </c>
      <c r="B10" s="441">
        <f>IF(ISNUMBER(NºAsuntos!G10/NºAsuntos!E10),NºAsuntos!G10/NºAsuntos!E10," - ")</f>
        <v>1.2777777777777777</v>
      </c>
      <c r="C10" s="442">
        <f>IF(ISNUMBER(NºAsuntos!I10/NºAsuntos!G10),NºAsuntos!I10/NºAsuntos!G10," - ")</f>
        <v>1.5652173913043479</v>
      </c>
      <c r="D10" s="443">
        <f>IF(ISNUMBER('Resol  Asuntos'!D10/NºAsuntos!G10),'Resol  Asuntos'!D10/NºAsuntos!G10," - ")</f>
        <v>0.30434782608695654</v>
      </c>
      <c r="E10" s="444">
        <f>IF(ISNUMBER((NºAsuntos!C10+NºAsuntos!E10)/NºAsuntos!G10),(NºAsuntos!C10+NºAsuntos!E10)/NºAsuntos!G10," - ")</f>
        <v>2.5652173913043477</v>
      </c>
      <c r="G10" s="462"/>
    </row>
    <row r="11" spans="1:7">
      <c r="A11" s="401" t="str">
        <f>Datos!A11</f>
        <v xml:space="preserve">Jdos. Familia                                   </v>
      </c>
      <c r="B11" s="441">
        <f>IF(ISNUMBER(NºAsuntos!G11/NºAsuntos!E11),NºAsuntos!G11/NºAsuntos!E11," - ")</f>
        <v>0.94827586206896552</v>
      </c>
      <c r="C11" s="442">
        <f>IF(ISNUMBER(NºAsuntos!I11/NºAsuntos!G11),NºAsuntos!I11/NºAsuntos!G11," - ")</f>
        <v>0.8</v>
      </c>
      <c r="D11" s="443">
        <f>IF(ISNUMBER('Resol  Asuntos'!D11/NºAsuntos!G11),'Resol  Asuntos'!D11/NºAsuntos!G11," - ")</f>
        <v>0.20909090909090908</v>
      </c>
      <c r="E11" s="444">
        <f>IF(ISNUMBER((NºAsuntos!C11+NºAsuntos!E11)/NºAsuntos!G11),(NºAsuntos!C11+NºAsuntos!E11)/NºAsuntos!G11," - ")</f>
        <v>1.8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1.2039855072463768</v>
      </c>
      <c r="C13" s="858">
        <f>IF(ISNUMBER(NºAsuntos!I13/NºAsuntos!G13),NºAsuntos!I13/NºAsuntos!G13," - ")</f>
        <v>1.5398736081853746</v>
      </c>
      <c r="D13" s="859">
        <f>IF(ISNUMBER('Resol  Asuntos'!D13/NºAsuntos!G13),'Resol  Asuntos'!D13/NºAsuntos!G13," - ")</f>
        <v>0.31266927475173034</v>
      </c>
      <c r="E13" s="860">
        <f>IF(ISNUMBER((NºAsuntos!C13+NºAsuntos!E13)/NºAsuntos!G13),(NºAsuntos!C13+NºAsuntos!E13)/NºAsuntos!G13," - ")</f>
        <v>2.5693650315979535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0.99005134788189986</v>
      </c>
      <c r="C15" s="442">
        <f>IF(ISNUMBER(NºAsuntos!I15/NºAsuntos!G15),NºAsuntos!I15/NºAsuntos!G15," - ")</f>
        <v>0.83273905996758513</v>
      </c>
      <c r="D15" s="443">
        <f>IF(ISNUMBER('Resol  Asuntos'!D15/NºAsuntos!G15),'Resol  Asuntos'!D15/NºAsuntos!G15," - ")</f>
        <v>0.1173419773095624</v>
      </c>
      <c r="E15" s="444">
        <f>IF(ISNUMBER((NºAsuntos!C15+NºAsuntos!E15)/NºAsuntos!G15),(NºAsuntos!C15+NºAsuntos!E15)/NºAsuntos!G15," - ")</f>
        <v>1.8155591572123178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0.91761363636363635</v>
      </c>
      <c r="C17" s="442">
        <f>IF(ISNUMBER(NºAsuntos!I17/NºAsuntos!G17),NºAsuntos!I17/NºAsuntos!G17," - ")</f>
        <v>0.57585139318885448</v>
      </c>
      <c r="D17" s="443">
        <f>IF(ISNUMBER('Resol  Asuntos'!D17/NºAsuntos!G17),'Resol  Asuntos'!D17/NºAsuntos!G17," - ")</f>
        <v>0.15170278637770898</v>
      </c>
      <c r="E17" s="444">
        <f>IF(ISNUMBER((NºAsuntos!C17+NºAsuntos!E17)/NºAsuntos!G17),(NºAsuntos!C17+NºAsuntos!E17)/NºAsuntos!G17," - ")</f>
        <v>1.5758513931888545</v>
      </c>
      <c r="G17" s="462"/>
    </row>
    <row r="18" spans="1:7" ht="14.25" thickTop="1" thickBot="1">
      <c r="A18" s="847" t="str">
        <f>Datos!A18</f>
        <v>TOTAL</v>
      </c>
      <c r="B18" s="857">
        <f>IF(ISNUMBER(NºAsuntos!G18/NºAsuntos!E18),NºAsuntos!G18/NºAsuntos!E18," - ")</f>
        <v>0.98269896193771622</v>
      </c>
      <c r="C18" s="858">
        <f>IF(ISNUMBER(NºAsuntos!I18/NºAsuntos!G18),NºAsuntos!I18/NºAsuntos!G18," - ")</f>
        <v>0.80839201877934275</v>
      </c>
      <c r="D18" s="861">
        <f>IF(ISNUMBER('Resol  Asuntos'!D18/NºAsuntos!G18),'Resol  Asuntos'!D18/NºAsuntos!G18," - ")</f>
        <v>0.12059859154929578</v>
      </c>
      <c r="E18" s="860">
        <f>IF(ISNUMBER((NºAsuntos!C18+NºAsuntos!E18)/NºAsuntos!G18),(NºAsuntos!C18+NºAsuntos!E18)/NºAsuntos!G18," - ")</f>
        <v>1.7928403755868545</v>
      </c>
      <c r="G18" s="462"/>
    </row>
    <row r="19" spans="1:7" ht="15.75" customHeight="1" thickTop="1" thickBot="1">
      <c r="A19" s="792" t="str">
        <f>Datos!A19</f>
        <v>TOTAL JURISDICCIONES</v>
      </c>
      <c r="B19" s="807">
        <f>IF(ISNUMBER(NºAsuntos!G19/NºAsuntos!E19),NºAsuntos!G19/NºAsuntos!E19," - ")</f>
        <v>1.0807642903018626</v>
      </c>
      <c r="C19" s="808">
        <f>IF(ISNUMBER(NºAsuntos!I19/NºAsuntos!G19),NºAsuntos!I19/NºAsuntos!G19," - ")</f>
        <v>1.16951418808498</v>
      </c>
      <c r="D19" s="809">
        <f>IF(ISNUMBER('Resol  Asuntos'!D19/NºAsuntos!G19),'Resol  Asuntos'!D19/NºAsuntos!G19," - ")</f>
        <v>0.21542118555935225</v>
      </c>
      <c r="E19" s="810">
        <f>IF(ISNUMBER((NºAsuntos!C19+NºAsuntos!E19)/NºAsuntos!G19),(NºAsuntos!C19+NºAsuntos!E19)/NºAsuntos!G19," - ")</f>
        <v>2.1761996731540632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0JseQbVSIYugwx1odMTtscRfhaGRiFDm8TxA3kFh5TjEv1o0Z2hQgmOKkPMpspV0WpEIynmsQAbwBYG1ErJTg==" saltValue="tZOe4/+5f4qkI3nA3Wm7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OVIEDO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1221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1305</v>
      </c>
      <c r="Y9" s="333">
        <f>SUM(W9:X9)</f>
        <v>1305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11640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933</v>
      </c>
      <c r="AJ9" s="228" t="str">
        <f>IF(ISNUMBER(Datos!BW9),Datos!BW9," - ")</f>
        <v xml:space="preserve"> - </v>
      </c>
      <c r="AK9" s="227" t="str">
        <f>IF(ISNUMBER(Datos!BX9),Datos!BX9," - ")</f>
        <v xml:space="preserve"> - </v>
      </c>
      <c r="AL9" s="242">
        <f>IF(ISNUMBER(NºAsuntos!G9/NºAsuntos!E9),NºAsuntos!G9/NºAsuntos!E9," - ")</f>
        <v>1.2553097345132744</v>
      </c>
      <c r="AM9" s="259">
        <f>IF(ISNUMBER(((NºAsuntos!I9/NºAsuntos!G9)*11)/factor_trimestre),((NºAsuntos!I9/NºAsuntos!G9)*11)/factor_trimestre," - ")</f>
        <v>3.3084243919633418</v>
      </c>
      <c r="AN9" s="243">
        <f>IF(ISNUMBER('Resol  Asuntos'!D9/NºAsuntos!G9),'Resol  Asuntos'!D9/NºAsuntos!G9," - ")</f>
        <v>0.32886852308776876</v>
      </c>
      <c r="AO9" s="244">
        <f>IF(ISNUMBER((NºAsuntos!C9+NºAsuntos!E9)/NºAsuntos!G9),(NºAsuntos!C9+NºAsuntos!E9)/NºAsuntos!G9," - ")</f>
        <v>2.6887557278815652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82</v>
      </c>
      <c r="G10" s="332">
        <f>IF(ISNUMBER(Datos!I10),Datos!I10," - ")</f>
        <v>82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2</v>
      </c>
      <c r="Y10" s="333">
        <f t="shared" ref="Y10:Y12" si="0">SUM(W10:X10)</f>
        <v>48</v>
      </c>
      <c r="Z10" s="334" t="str">
        <f>IF(ISNUMBER(Datos!CC10),Datos!CC10," - ")</f>
        <v xml:space="preserve"> - </v>
      </c>
      <c r="AA10" s="331">
        <f>IF(ISNUMBER(Datos!L10),Datos!L10,"-")</f>
        <v>72</v>
      </c>
      <c r="AB10" s="333">
        <f>IF(ISNUMBER(Datos!R10),Datos!R10," - ")</f>
        <v>47</v>
      </c>
      <c r="AC10" s="333">
        <f t="shared" ref="AC10:AC12" si="1">IF(ISNUMBER(AA10+AB10),AA10+AB10," - ")</f>
        <v>119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1.2777777777777777</v>
      </c>
      <c r="AM10" s="259">
        <f>IF(ISNUMBER(((NºAsuntos!I10/NºAsuntos!G10)*11)/factor_trimestre),((NºAsuntos!I10/NºAsuntos!G10)*11)/factor_trimestre," - ")</f>
        <v>3.1304347826086958</v>
      </c>
      <c r="AN10" s="243">
        <f>IF(ISNUMBER('Resol  Asuntos'!D10/NºAsuntos!G10),'Resol  Asuntos'!D10/NºAsuntos!G10," - ")</f>
        <v>0.30434782608695654</v>
      </c>
      <c r="AO10" s="244">
        <f>IF(ISNUMBER((NºAsuntos!C10+NºAsuntos!E10)/NºAsuntos!G10),(NºAsuntos!C10+NºAsuntos!E10)/NºAsuntos!G10," - ")</f>
        <v>2.5652173913043477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35</v>
      </c>
      <c r="Y11" s="333">
        <f t="shared" si="0"/>
        <v>35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311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92</v>
      </c>
      <c r="AJ11" s="230" t="str">
        <f>IF(ISNUMBER(Datos!BW11),Datos!BW11," - ")</f>
        <v xml:space="preserve"> - </v>
      </c>
      <c r="AK11" s="231" t="str">
        <f>IF(ISNUMBER(Datos!BX11),Datos!BX11," - ")</f>
        <v xml:space="preserve"> - </v>
      </c>
      <c r="AL11" s="242">
        <f>IF(ISNUMBER(NºAsuntos!G11/NºAsuntos!E11),NºAsuntos!G11/NºAsuntos!E11," - ")</f>
        <v>0.94827586206896552</v>
      </c>
      <c r="AM11" s="259">
        <f>IF(ISNUMBER(((NºAsuntos!I11/NºAsuntos!G11)*11)/factor_trimestre),((NºAsuntos!I11/NºAsuntos!G11)*11)/factor_trimestre," - ")</f>
        <v>1.6</v>
      </c>
      <c r="AN11" s="243">
        <f>IF(ISNUMBER('Resol  Asuntos'!D11/NºAsuntos!G11),'Resol  Asuntos'!D11/NºAsuntos!G11," - ")</f>
        <v>0.20909090909090908</v>
      </c>
      <c r="AO11" s="244">
        <f>IF(ISNUMBER((NºAsuntos!C11+NºAsuntos!E11)/NºAsuntos!G11),(NºAsuntos!C11+NºAsuntos!E11)/NºAsuntos!G11," - ")</f>
        <v>1.8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82</v>
      </c>
      <c r="G13" s="865">
        <f t="shared" si="3"/>
        <v>82</v>
      </c>
      <c r="H13" s="864">
        <f t="shared" si="3"/>
        <v>0</v>
      </c>
      <c r="I13" s="866">
        <f t="shared" si="3"/>
        <v>0</v>
      </c>
      <c r="J13" s="866">
        <f t="shared" si="3"/>
        <v>0</v>
      </c>
      <c r="K13" s="866">
        <f t="shared" si="3"/>
        <v>0</v>
      </c>
      <c r="L13" s="866">
        <f t="shared" si="3"/>
        <v>1256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1342</v>
      </c>
      <c r="Y13" s="867">
        <f t="shared" si="4"/>
        <v>1388</v>
      </c>
      <c r="Z13" s="867">
        <f t="shared" si="4"/>
        <v>0</v>
      </c>
      <c r="AA13" s="867">
        <f t="shared" si="4"/>
        <v>72</v>
      </c>
      <c r="AB13" s="867">
        <f t="shared" si="4"/>
        <v>11998</v>
      </c>
      <c r="AC13" s="867">
        <f t="shared" si="4"/>
        <v>119</v>
      </c>
      <c r="AD13" s="867">
        <f t="shared" si="4"/>
        <v>0</v>
      </c>
      <c r="AE13" s="871">
        <f t="shared" si="4"/>
        <v>0</v>
      </c>
      <c r="AF13" s="864">
        <f t="shared" si="4"/>
        <v>0</v>
      </c>
      <c r="AG13" s="872">
        <f t="shared" si="4"/>
        <v>0</v>
      </c>
      <c r="AH13" s="869">
        <f t="shared" si="4"/>
        <v>0</v>
      </c>
      <c r="AI13" s="864">
        <f t="shared" si="4"/>
        <v>1039</v>
      </c>
      <c r="AJ13" s="866">
        <f t="shared" si="4"/>
        <v>0</v>
      </c>
      <c r="AK13" s="869">
        <f>SUBTOTAL(9,AK9:AK12)</f>
        <v>0</v>
      </c>
      <c r="AL13" s="873">
        <f>IF(ISNUMBER(NºAsuntos!G13/NºAsuntos!E13),NºAsuntos!G13/NºAsuntos!E13," - ")</f>
        <v>1.2039855072463768</v>
      </c>
      <c r="AM13" s="873">
        <f>IF(ISNUMBER(((NºAsuntos!I13/NºAsuntos!G13)*11)/factor_trimestre),((NºAsuntos!I13/NºAsuntos!G13)*11)/factor_trimestre," - ")</f>
        <v>3.0797472163707487</v>
      </c>
      <c r="AN13" s="874">
        <f>IF(ISNUMBER('Resol  Asuntos'!D13/NºAsuntos!G13),'Resol  Asuntos'!D13/NºAsuntos!G13," - ")</f>
        <v>0.31266927475173034</v>
      </c>
      <c r="AO13" s="875">
        <f>IF(ISNUMBER((NºAsuntos!C13+NºAsuntos!E13)/NºAsuntos!G13),(NºAsuntos!C13+NºAsuntos!E13)/NºAsuntos!G13," - ")</f>
        <v>2.5693650315979535</v>
      </c>
      <c r="AP13" s="876" t="str">
        <f t="shared" si="2"/>
        <v xml:space="preserve"> - </v>
      </c>
      <c r="AQ13" s="876">
        <f>IF(ISNUMBER((H13-W13+K13)/(F13)),(H13-W13+K13)/(F13)," - ")</f>
        <v>-0.56097560975609762</v>
      </c>
      <c r="AR13" s="877">
        <f>IF(ISNUMBER((Datos!P13-Datos!Q13)/(Datos!R13-Datos!P13+Datos!Q13)),(Datos!P13-Datos!Q13)/(Datos!R13-Datos!P13+Datos!Q13)," - ")</f>
        <v>-7.1168487255875539E-3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2538</v>
      </c>
      <c r="G15" s="332">
        <f>IF(ISNUMBER(IF(D_I="SI",Datos!I15,Datos!I15+Datos!AC15)),IF(D_I="SI",Datos!I15,Datos!I15+Datos!AC15)," - ")</f>
        <v>2485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3085</v>
      </c>
      <c r="X15" s="225">
        <f>IF(ISNUMBER(Datos!Q15),Datos!Q15," - ")</f>
        <v>107</v>
      </c>
      <c r="Y15" s="333">
        <f>SUM(W15)</f>
        <v>3085</v>
      </c>
      <c r="Z15" s="334" t="str">
        <f>IF(ISNUMBER(Datos!CC15),Datos!CC15," - ")</f>
        <v xml:space="preserve"> - </v>
      </c>
      <c r="AA15" s="331">
        <f>IF(ISNUMBER(IF(D_I="SI",Datos!L15,Datos!L15+Datos!AF15)),IF(D_I="SI",Datos!L15,Datos!L15+Datos!AF15)," - ")</f>
        <v>2569</v>
      </c>
      <c r="AB15" s="333">
        <f>IF(ISNUMBER(Datos!R15),Datos!R15," - ")</f>
        <v>732</v>
      </c>
      <c r="AC15" s="333">
        <f t="shared" ref="AC15:AC17" si="6">IF(ISNUMBER(AA15+AB15),AA15+AB15," - ")</f>
        <v>3301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362</v>
      </c>
      <c r="AJ15" s="230" t="str">
        <f>IF(ISNUMBER(Datos!BW15),Datos!BW15," - ")</f>
        <v xml:space="preserve"> - </v>
      </c>
      <c r="AK15" s="231" t="str">
        <f>IF(ISNUMBER(Datos!BX15),Datos!BX15," - ")</f>
        <v xml:space="preserve"> - </v>
      </c>
      <c r="AL15" s="242">
        <f>IF(ISNUMBER(NºAsuntos!G15/NºAsuntos!E15),NºAsuntos!G15/NºAsuntos!E15," - ")</f>
        <v>0.99005134788189986</v>
      </c>
      <c r="AM15" s="259">
        <f>IF(ISNUMBER(((NºAsuntos!I15/NºAsuntos!G15)*11)/factor_trimestre),((NºAsuntos!I15/NºAsuntos!G15)*11)/factor_trimestre," - ")</f>
        <v>1.6654781199351703</v>
      </c>
      <c r="AN15" s="243">
        <f>IF(ISNUMBER('Resol  Asuntos'!D15/NºAsuntos!G15),'Resol  Asuntos'!D15/NºAsuntos!G15," - ")</f>
        <v>0.1173419773095624</v>
      </c>
      <c r="AO15" s="244">
        <f>IF(ISNUMBER((NºAsuntos!C15+NºAsuntos!E15)/NºAsuntos!G15),(NºAsuntos!C15+NºAsuntos!E15)/NºAsuntos!G15," - ")</f>
        <v>1.8155591572123178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323</v>
      </c>
      <c r="X17" s="225">
        <f>IF(ISNUMBER(Datos!Q17),Datos!Q17," - ")</f>
        <v>7</v>
      </c>
      <c r="Y17" s="333">
        <f t="shared" si="7"/>
        <v>330</v>
      </c>
      <c r="Z17" s="334" t="str">
        <f>IF(ISNUMBER(Datos!CC17),Datos!CC17," - ")</f>
        <v xml:space="preserve"> - </v>
      </c>
      <c r="AA17" s="331">
        <f>IF(ISNUMBER(Datos!L17),Datos!L17,"-")</f>
        <v>186</v>
      </c>
      <c r="AB17" s="333">
        <f>IF(ISNUMBER(Datos!R17),Datos!R17," - ")</f>
        <v>9</v>
      </c>
      <c r="AC17" s="333">
        <f t="shared" si="6"/>
        <v>195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49</v>
      </c>
      <c r="AJ17" s="230" t="str">
        <f>IF(ISNUMBER(Datos!BW17),Datos!BW17," - ")</f>
        <v xml:space="preserve"> - </v>
      </c>
      <c r="AK17" s="231" t="str">
        <f>IF(ISNUMBER(Datos!BX17),Datos!BX17," - ")</f>
        <v xml:space="preserve"> - </v>
      </c>
      <c r="AL17" s="242">
        <f>IF(ISNUMBER(NºAsuntos!G17/NºAsuntos!E17),NºAsuntos!G17/NºAsuntos!E17," - ")</f>
        <v>0.91761363636363635</v>
      </c>
      <c r="AM17" s="259">
        <f>IF(ISNUMBER(((NºAsuntos!I17/NºAsuntos!G17)*11)/factor_trimestre),((NºAsuntos!I17/NºAsuntos!G17)*11)/factor_trimestre," - ")</f>
        <v>1.151702786377709</v>
      </c>
      <c r="AN17" s="243">
        <f>IF(ISNUMBER('Resol  Asuntos'!D17/NºAsuntos!G17),'Resol  Asuntos'!D17/NºAsuntos!G17," - ")</f>
        <v>0.15170278637770898</v>
      </c>
      <c r="AO17" s="244">
        <f>IF(ISNUMBER((NºAsuntos!C17+NºAsuntos!E17)/NºAsuntos!G17),(NºAsuntos!C17+NºAsuntos!E17)/NºAsuntos!G17," - ")</f>
        <v>1.5758513931888545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2538</v>
      </c>
      <c r="G18" s="865">
        <f>SUBTOTAL(9,G15:G17)</f>
        <v>2642</v>
      </c>
      <c r="H18" s="864">
        <f t="shared" ref="H18:O18" si="10">SUBTOTAL(9,H14:H17)</f>
        <v>0</v>
      </c>
      <c r="I18" s="866">
        <f t="shared" si="10"/>
        <v>0</v>
      </c>
      <c r="J18" s="866">
        <f t="shared" si="10"/>
        <v>0</v>
      </c>
      <c r="K18" s="866">
        <f t="shared" si="10"/>
        <v>0</v>
      </c>
      <c r="L18" s="866">
        <f t="shared" si="10"/>
        <v>125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3408</v>
      </c>
      <c r="X18" s="866">
        <f t="shared" si="11"/>
        <v>114</v>
      </c>
      <c r="Y18" s="867">
        <f t="shared" si="11"/>
        <v>3415</v>
      </c>
      <c r="Z18" s="867">
        <f t="shared" si="11"/>
        <v>0</v>
      </c>
      <c r="AA18" s="867">
        <f t="shared" si="11"/>
        <v>2755</v>
      </c>
      <c r="AB18" s="867">
        <f t="shared" si="11"/>
        <v>741</v>
      </c>
      <c r="AC18" s="867">
        <f t="shared" si="11"/>
        <v>3496</v>
      </c>
      <c r="AD18" s="867">
        <f t="shared" si="11"/>
        <v>0</v>
      </c>
      <c r="AE18" s="871">
        <f t="shared" si="11"/>
        <v>0</v>
      </c>
      <c r="AF18" s="864">
        <f t="shared" si="11"/>
        <v>0</v>
      </c>
      <c r="AG18" s="872">
        <f t="shared" si="11"/>
        <v>0</v>
      </c>
      <c r="AH18" s="869">
        <f t="shared" si="11"/>
        <v>0</v>
      </c>
      <c r="AI18" s="864">
        <f t="shared" si="11"/>
        <v>411</v>
      </c>
      <c r="AJ18" s="866">
        <f t="shared" si="11"/>
        <v>0</v>
      </c>
      <c r="AK18" s="869">
        <f t="shared" si="11"/>
        <v>0</v>
      </c>
      <c r="AL18" s="873">
        <f>IF(ISNUMBER(NºAsuntos!G18/NºAsuntos!E18),NºAsuntos!G18/NºAsuntos!E18," - ")</f>
        <v>0.98269896193771622</v>
      </c>
      <c r="AM18" s="873">
        <f>IF(ISNUMBER(((NºAsuntos!I18/NºAsuntos!G18)*11)/factor_trimestre),((NºAsuntos!I18/NºAsuntos!G18)*11)/factor_trimestre," - ")</f>
        <v>1.6167840375586855</v>
      </c>
      <c r="AN18" s="874">
        <f>IF(ISNUMBER('Resol  Asuntos'!D18/NºAsuntos!G18),'Resol  Asuntos'!D18/NºAsuntos!G18," - ")</f>
        <v>0.12059859154929578</v>
      </c>
      <c r="AO18" s="875">
        <f>IF(ISNUMBER((NºAsuntos!C18+NºAsuntos!E18)/NºAsuntos!G18),(NºAsuntos!C18+NºAsuntos!E18)/NºAsuntos!G18," - ")</f>
        <v>1.7928403755868545</v>
      </c>
      <c r="AP18" s="876" t="str">
        <f t="shared" si="2"/>
        <v xml:space="preserve"> - </v>
      </c>
      <c r="AQ18" s="876">
        <f>IF(ISNUMBER((H18-W18+K18)/(F18)),(H18-W18+K18)/(F18)," - ")</f>
        <v>-1.342789598108747</v>
      </c>
      <c r="AR18" s="877">
        <f>IF(ISNUMBER((Datos!P18-Datos!Q18)/(Datos!R18-Datos!P18+Datos!Q18)),(Datos!P18-Datos!Q18)/(Datos!R18-Datos!P18+Datos!Q18)," - ")</f>
        <v>1.5068493150684932E-2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2620</v>
      </c>
      <c r="G19" s="820">
        <f t="shared" si="13"/>
        <v>2724</v>
      </c>
      <c r="H19" s="819">
        <f t="shared" si="13"/>
        <v>0</v>
      </c>
      <c r="I19" s="821">
        <f t="shared" si="13"/>
        <v>0</v>
      </c>
      <c r="J19" s="821">
        <f t="shared" si="13"/>
        <v>0</v>
      </c>
      <c r="K19" s="880">
        <f t="shared" si="13"/>
        <v>0</v>
      </c>
      <c r="L19" s="821">
        <f t="shared" si="13"/>
        <v>1381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3454</v>
      </c>
      <c r="X19" s="820">
        <f t="shared" si="14"/>
        <v>1456</v>
      </c>
      <c r="Y19" s="827">
        <f t="shared" si="14"/>
        <v>4803</v>
      </c>
      <c r="Z19" s="827">
        <f t="shared" si="14"/>
        <v>0</v>
      </c>
      <c r="AA19" s="827">
        <f t="shared" si="14"/>
        <v>2827</v>
      </c>
      <c r="AB19" s="827">
        <f t="shared" si="14"/>
        <v>12739</v>
      </c>
      <c r="AC19" s="827">
        <f t="shared" si="14"/>
        <v>3615</v>
      </c>
      <c r="AD19" s="827">
        <f t="shared" si="14"/>
        <v>0</v>
      </c>
      <c r="AE19" s="829">
        <f t="shared" si="14"/>
        <v>0</v>
      </c>
      <c r="AF19" s="830">
        <f t="shared" si="14"/>
        <v>0</v>
      </c>
      <c r="AG19" s="831">
        <f t="shared" si="14"/>
        <v>0</v>
      </c>
      <c r="AH19" s="829">
        <f t="shared" si="14"/>
        <v>0</v>
      </c>
      <c r="AI19" s="819">
        <f t="shared" si="14"/>
        <v>1450</v>
      </c>
      <c r="AJ19" s="819">
        <f t="shared" si="14"/>
        <v>0</v>
      </c>
      <c r="AK19" s="829">
        <f t="shared" si="14"/>
        <v>0</v>
      </c>
      <c r="AL19" s="883">
        <f>IF(ISNUMBER(NºAsuntos!G19/NºAsuntos!E19),NºAsuntos!G19/NºAsuntos!E19," - ")</f>
        <v>1.0807642903018626</v>
      </c>
      <c r="AM19" s="884">
        <f>IF(ISNUMBER(((NºAsuntos!I19/NºAsuntos!G19)*11)/factor_trimestre),((NºAsuntos!I19/NºAsuntos!G19)*11)/factor_trimestre," - ")</f>
        <v>2.33902837616996</v>
      </c>
      <c r="AN19" s="884">
        <f>IF(ISNUMBER('Resol  Asuntos'!D19/NºAsuntos!G19),'Resol  Asuntos'!D19/NºAsuntos!G19," - ")</f>
        <v>0.21542118555935225</v>
      </c>
      <c r="AO19" s="885">
        <f>IF(ISNUMBER((NºAsuntos!C19+NºAsuntos!E19)/NºAsuntos!G19),(NºAsuntos!C19+NºAsuntos!E19)/NºAsuntos!G19," - ")</f>
        <v>2.1761996731540632</v>
      </c>
      <c r="AP19" s="886" t="str">
        <f t="shared" si="2"/>
        <v xml:space="preserve"> - </v>
      </c>
      <c r="AQ19" s="887">
        <f>IF(OR(ISNUMBER(FIND("01",Criterios!A8,1)),ISNUMBER(FIND("02",Criterios!A8,1)),ISNUMBER(FIND("03",Criterios!A8,1)),ISNUMBER(FIND("04",Criterios!A8,1))),(I19-W19+K19)/(F19-K19),(H19-W19+K19)/(F19-K19))</f>
        <v>-1.3183206106870229</v>
      </c>
      <c r="AR19" s="888">
        <f>IF(ISNUMBER((Datos!P19-Datos!Q19)/(Datos!R19-Datos!P19+Datos!Q19)),(Datos!P19-Datos!Q19)/(Datos!R19-Datos!P19+Datos!Q19)," - ")</f>
        <v>-5.8529733104417045E-3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1089.5999999999999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4.636809247747852</v>
      </c>
      <c r="F21" s="251">
        <f>IF(ISNUMBER(STDEV(F8:F18)),STDEV(F8:F18),"-")</f>
        <v>1417.9722611297209</v>
      </c>
      <c r="G21" s="252">
        <f>IF(ISNUMBER(STDEV(G8:G18)),STDEV(G8:G18),"-")</f>
        <v>1346.9730138350953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1709.9822513698789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420.23950087448719</v>
      </c>
      <c r="AJ21" s="251">
        <f t="shared" si="18"/>
        <v>0</v>
      </c>
      <c r="AK21" s="253">
        <f t="shared" si="18"/>
        <v>0</v>
      </c>
      <c r="AL21" s="248">
        <f t="shared" si="18"/>
        <v>0.15623994347215706</v>
      </c>
      <c r="AM21" s="249">
        <f t="shared" si="18"/>
        <v>0.90826985701633445</v>
      </c>
      <c r="AN21" s="249">
        <f t="shared" si="18"/>
        <v>9.3767695035077647E-2</v>
      </c>
      <c r="AO21" s="250">
        <f t="shared" si="18"/>
        <v>0.46934277118641993</v>
      </c>
      <c r="AP21" s="290" t="str">
        <f t="shared" si="18"/>
        <v>-</v>
      </c>
      <c r="AQ21" s="291">
        <f t="shared" si="18"/>
        <v>0.55282597279065893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BF1U/NMAoXWDsf2D2VB0TCHitLeFM/28PAV19pJVWeyJypjf/NIbOAMk+3H5U9WQpEZ6cgikTjvtibpPKXU8g==" saltValue="XqiQwE+oOqgaAReBLji+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OVIEDO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-0.12885154061624648</v>
      </c>
      <c r="I9" s="349">
        <f>IF(ISNUMBER((Tasas!C9-Datos!BE9)/Datos!BE9),(Tasas!C9-Datos!BE9)/Datos!BE9," - ")</f>
        <v>-0.14630287950180063</v>
      </c>
      <c r="J9" s="348">
        <f>IF(ISNUMBER((Tasas!D9-Datos!BF9)/Datos!BF9),(Tasas!D9-Datos!BF9)/Datos!BF9," - ")</f>
        <v>0.12159164826151166</v>
      </c>
      <c r="K9" s="350">
        <f>IF(ISNUMBER((Tasas!E9-Datos!BG9)/Datos!BG9),(Tasas!E9-Datos!BG9)/Datos!BG9," - ")</f>
        <v>-8.6162835419035647E-2</v>
      </c>
      <c r="M9" t="e">
        <f>IF(Monitorios="SI",Datos!CE9,0)</f>
        <v>#REF!</v>
      </c>
      <c r="N9" t="e">
        <f>IF(Monitorios="SI",Datos!CF9,0)</f>
        <v>#REF!</v>
      </c>
      <c r="O9" t="e">
        <f>IF(Monitorios="SI",Datos!CG9,0)</f>
        <v>#REF!</v>
      </c>
      <c r="P9" t="e">
        <f>IF(Monitorios="SI",Datos!CH9,0)</f>
        <v>#REF!</v>
      </c>
      <c r="Q9">
        <f>IF(J_V="SI",0,Datos!AG9)</f>
        <v>154</v>
      </c>
      <c r="R9">
        <f>IF(J_V="SI",0,Datos!AH9)</f>
        <v>136</v>
      </c>
      <c r="S9">
        <f>IF(J_V="SI",0,Datos!AI9)</f>
        <v>127</v>
      </c>
      <c r="T9">
        <f>IF(J_V="SI",0,Datos!AJ9)</f>
        <v>163</v>
      </c>
    </row>
    <row r="10" spans="2:20" ht="14.25">
      <c r="B10" s="274" t="s">
        <v>246</v>
      </c>
      <c r="C10" s="7" t="str">
        <f>Datos!A10</f>
        <v>Jdos. Violencia contra la mujer/Secc Viol. TI.</v>
      </c>
      <c r="D10" s="351">
        <f>IF(ISNUMBER((Datos!I10-Datos!S10)/Datos!S10),(Datos!I10-Datos!S10)/Datos!S10," - ")</f>
        <v>-0.27433628318584069</v>
      </c>
      <c r="E10" s="347">
        <f>IF(ISNUMBER((Datos!J10-Datos!T10)/Datos!T10),(Datos!J10-Datos!T10)/Datos!T10," - ")</f>
        <v>-7.6923076923076927E-2</v>
      </c>
      <c r="F10" s="347">
        <f>IF(ISNUMBER((Datos!K10-Datos!U10)/Datos!U10),(Datos!K10-Datos!U10)/Datos!U10," - ")</f>
        <v>0.27777777777777779</v>
      </c>
      <c r="G10" s="348">
        <f>IF(ISNUMBER((Datos!L10-Datos!V10)/Datos!V10),(Datos!L10-Datos!V10)/Datos!V10," - ")</f>
        <v>-0.37931034482758619</v>
      </c>
      <c r="H10" s="229">
        <f>IF(ISNUMBER((Datos!M10-Datos!W10)/Datos!W10),(Datos!M10-Datos!W10)/Datos!W10," - ")</f>
        <v>0.4</v>
      </c>
      <c r="I10" s="349">
        <f>IF(ISNUMBER((Tasas!C10-Datos!BE10)/Datos!BE10),(Tasas!C10-Datos!BE10)/Datos!BE10," - ")</f>
        <v>-0.5142428785607196</v>
      </c>
      <c r="J10" s="348">
        <f>IF(ISNUMBER((Tasas!D10-Datos!BF10)/Datos!BF10),(Tasas!D10-Datos!BF10)/Datos!BF10," - ")</f>
        <v>9.5652173913043495E-2</v>
      </c>
      <c r="K10" s="350">
        <f>IF(ISNUMBER((Tasas!E10-Datos!BG10)/Datos!BG10),(Tasas!E10-Datos!BG10)/Datos!BG10," - ")</f>
        <v>-0.39244851258581243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-6.1224489795918366E-2</v>
      </c>
      <c r="I11" s="349">
        <f>IF(ISNUMBER((Tasas!C11-Datos!BE11)/Datos!BE11),(Tasas!C11-Datos!BE11)/Datos!BE11," - ")</f>
        <v>-0.18427947598253266</v>
      </c>
      <c r="J11" s="348">
        <f>IF(ISNUMBER((Tasas!D11-Datos!BF11)/Datos!BF11),(Tasas!D11-Datos!BF11)/Datos!BF11," - ")</f>
        <v>-0.73961212121212117</v>
      </c>
      <c r="K11" s="350">
        <f>IF(ISNUMBER((Tasas!E11-Datos!BG11)/Datos!BG11),(Tasas!E11-Datos!BG11)/Datos!BG11," - ")</f>
        <v>-9.1243243243243261E-2</v>
      </c>
      <c r="M11" t="e">
        <f>IF(Monitorios="SI",Datos!CE11,0)</f>
        <v>#REF!</v>
      </c>
      <c r="N11" t="e">
        <f>IF(Monitorios="SI",Datos!CF11,0)</f>
        <v>#REF!</v>
      </c>
      <c r="O11" t="e">
        <f>IF(Monitorios="SI",Datos!CG11,0)</f>
        <v>#REF!</v>
      </c>
      <c r="P11" t="e">
        <f>IF(Monitorios="SI",Datos!CH11,0)</f>
        <v>#REF!</v>
      </c>
      <c r="Q11">
        <f>IF(J_V="SI",0,Datos!AG11)</f>
        <v>95</v>
      </c>
      <c r="R11">
        <f>IF(J_V="SI",0,Datos!AH11)</f>
        <v>248</v>
      </c>
      <c r="S11">
        <f>IF(J_V="SI",0,Datos!AI11)</f>
        <v>246</v>
      </c>
      <c r="T11">
        <f>IF(J_V="SI",0,Datos!AJ11)</f>
        <v>97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-0.11874469889737066</v>
      </c>
      <c r="I13" s="356">
        <f>IF(ISNUMBER((Tasas!C13-Datos!BE13)/Datos!BE13),(Tasas!C13-Datos!BE13)/Datos!BE13," - ")</f>
        <v>-0.15643761970627759</v>
      </c>
      <c r="J13" s="354">
        <f>IF(ISNUMBER((Tasas!D13-Datos!BF13)/Datos!BF13),(Tasas!D13-Datos!BF13)/Datos!BF13," - ")</f>
        <v>-0.13090604237622613</v>
      </c>
      <c r="K13" s="357">
        <f>IF(ISNUMBER((Tasas!E13-Datos!BG13)/Datos!BG13),(Tasas!E13-Datos!BG13)/Datos!BG13," - ")</f>
        <v>-9.1893068154773605E-2</v>
      </c>
      <c r="M13" t="e">
        <f>IF(Monitorios="SI",Datos!CE13,0)</f>
        <v>#REF!</v>
      </c>
      <c r="N13" t="e">
        <f>IF(Monitorios="SI",Datos!CF13,0)</f>
        <v>#REF!</v>
      </c>
      <c r="O13" t="e">
        <f>IF(Monitorios="SI",Datos!CG13,0)</f>
        <v>#REF!</v>
      </c>
      <c r="P13" t="e">
        <f>IF(Monitorios="SI",Datos!CH13,0)</f>
        <v>#REF!</v>
      </c>
      <c r="Q13">
        <f>IF(J_V="SI",0,Datos!AG13)</f>
        <v>249</v>
      </c>
      <c r="R13">
        <f>IF(J_V="SI",0,Datos!AH13)</f>
        <v>384</v>
      </c>
      <c r="S13">
        <f>IF(J_V="SI",0,Datos!AI13)</f>
        <v>373</v>
      </c>
      <c r="T13">
        <f>IF(J_V="SI",0,Datos!AJ13)</f>
        <v>260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-0.1140819964349376</v>
      </c>
      <c r="E15" s="347">
        <f>IF(ISNUMBER(
   IF(D_I="SI",(Datos!J15-Datos!T15)/Datos!T15,(Datos!J15+Datos!AD15-(Datos!T15+Datos!AL15))/(Datos!T15+Datos!AL15))
     ),IF(D_I="SI",(Datos!J15-Datos!T15)/Datos!T15,(Datos!J15+Datos!AD15-(Datos!T15+Datos!AL15))/(Datos!T15+Datos!AL15))," - ")</f>
        <v>3.9013004334778258E-2</v>
      </c>
      <c r="F15" s="347">
        <f>IF(ISNUMBER(
   IF(D_I="SI",(Datos!K15-Datos!U15)/Datos!U15,(Datos!K15+Datos!AE15-(Datos!U15+Datos!AM15))/(Datos!U15+Datos!AM15))
     ),IF(D_I="SI",(Datos!K15-Datos!U15)/Datos!U15,(Datos!K15+Datos!AE15-(Datos!U15+Datos!AM15))/(Datos!U15+Datos!AM15))," - ")</f>
        <v>7.6788830715532289E-2</v>
      </c>
      <c r="G15" s="348">
        <f>IF(ISNUMBER(
   IF(D_I="SI",(Datos!L15-Datos!V15)/Datos!V15,(Datos!L15+Datos!AF15-(Datos!V15+Datos!AN15))/(Datos!V15+Datos!AN15))
     ),IF(D_I="SI",(Datos!L15-Datos!V15)/Datos!V15,(Datos!L15+Datos!AF15-(Datos!V15+Datos!AN15))/(Datos!V15+Datos!AN15))," - ")</f>
        <v>-0.13268062120189061</v>
      </c>
      <c r="H15" s="229">
        <f>IF(ISNUMBER((Datos!M15-Datos!W15)/Datos!W15),(Datos!M15-Datos!W15)/Datos!W15," - ")</f>
        <v>5.5555555555555558E-3</v>
      </c>
      <c r="I15" s="349">
        <f>IF(ISNUMBER((Tasas!C15-Datos!BE15)/Datos!BE15),(Tasas!C15-Datos!BE15)/Datos!BE15," - ")</f>
        <v>-0.19453159797193406</v>
      </c>
      <c r="J15" s="348">
        <f>IF(ISNUMBER((Tasas!D15-Datos!BF15)/Datos!BF15),(Tasas!D15-Datos!BF15)/Datos!BF15," - ")</f>
        <v>-6.615343057806583E-2</v>
      </c>
      <c r="K15" s="350">
        <f>IF(ISNUMBER((Tasas!E15-Datos!BG15)/Datos!BG15),(Tasas!E15-Datos!BG15)/Datos!BG15," - ")</f>
        <v>-0.10379445461521532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-0.10795454545454546</v>
      </c>
      <c r="E17" s="347">
        <f>IF(ISNUMBER(
   IF(D_I="SI",(Datos!J17-Datos!T17)/Datos!T17,(Datos!J17+Datos!AD17-(Datos!T17+Datos!AL17))/(Datos!T17+Datos!AL17))
     ),IF(D_I="SI",(Datos!J17-Datos!T17)/Datos!T17,(Datos!J17+Datos!AD17-(Datos!T17+Datos!AL17))/(Datos!T17+Datos!AL17))," - ")</f>
        <v>-2.8328611898016999E-3</v>
      </c>
      <c r="F17" s="347">
        <f>IF(ISNUMBER(
   IF(D_I="SI",(Datos!K17-Datos!U17)/Datos!U17,(Datos!K17+Datos!AE17-(Datos!U17+Datos!AM17))/(Datos!U17+Datos!AM17))
     ),IF(D_I="SI",(Datos!K17-Datos!U17)/Datos!U17,(Datos!K17+Datos!AE17-(Datos!U17+Datos!AM17))/(Datos!U17+Datos!AM17))," - ")</f>
        <v>-4.4378698224852069E-2</v>
      </c>
      <c r="G17" s="348">
        <f>IF(ISNUMBER(
   IF(D_I="SI",(Datos!L17-Datos!V17)/Datos!V17,(Datos!L17+Datos!AF17-(Datos!V17+Datos!AN17))/(Datos!V17+Datos!AN17))
     ),IF(D_I="SI",(Datos!L17-Datos!V17)/Datos!V17,(Datos!L17+Datos!AF17-(Datos!V17+Datos!AN17))/(Datos!V17+Datos!AN17))," - ")</f>
        <v>-2.6178010471204188E-2</v>
      </c>
      <c r="H17" s="229">
        <f>IF(ISNUMBER((Datos!M17-Datos!W17)/Datos!W17),(Datos!M17-Datos!W17)/Datos!W17," - ")</f>
        <v>-7.5471698113207544E-2</v>
      </c>
      <c r="I17" s="349">
        <f>IF(ISNUMBER((Tasas!C17-Datos!BE17)/Datos!BE17),(Tasas!C17-Datos!BE17)/Datos!BE17," - ")</f>
        <v>1.904592093106185E-2</v>
      </c>
      <c r="J17" s="348">
        <f>IF(ISNUMBER((Tasas!D17-Datos!BF17)/Datos!BF17),(Tasas!D17-Datos!BF17)/Datos!BF17," - ")</f>
        <v>-3.2536947251591751E-2</v>
      </c>
      <c r="K17" s="350">
        <f>IF(ISNUMBER((Tasas!E17-Datos!BG17)/Datos!BG17),(Tasas!E17-Datos!BG17)/Datos!BG17," - ")</f>
        <v>6.8766935686819953E-3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-0.11372022811137203</v>
      </c>
      <c r="E18" s="353">
        <f>IF(ISNUMBER(
   IF(D_I="SI",(Datos!J18-Datos!T18)/Datos!T18,(Datos!J18+Datos!AD18-(Datos!T18+Datos!AL18))/(Datos!T18+Datos!AL18))
     ),IF(D_I="SI",(Datos!J18-Datos!T18)/Datos!T18,(Datos!J18+Datos!AD18-(Datos!T18+Datos!AL18))/(Datos!T18+Datos!AL18))," - ")</f>
        <v>3.4606205250596656E-2</v>
      </c>
      <c r="F18" s="353">
        <f>IF(ISNUMBER(
   IF(D_I="SI",(Datos!K18-Datos!U18)/Datos!U18,(Datos!K18+Datos!AE18-(Datos!U18+Datos!AM18))/(Datos!U18+Datos!AM18))
     ),IF(D_I="SI",(Datos!K18-Datos!U18)/Datos!U18,(Datos!K18+Datos!AE18-(Datos!U18+Datos!AM18))/(Datos!U18+Datos!AM18))," - ")</f>
        <v>6.4002497658445207E-2</v>
      </c>
      <c r="G18" s="354">
        <f>IF(ISNUMBER(
   IF(D_I="SI",(Datos!L18-Datos!V18)/Datos!V18,(Datos!L18+Datos!AF18-(Datos!V18+Datos!AN18))/(Datos!V18+Datos!AN18))
     ),IF(D_I="SI",(Datos!L18-Datos!V18)/Datos!V18,(Datos!L18+Datos!AF18-(Datos!V18+Datos!AN18))/(Datos!V18+Datos!AN18))," - ")</f>
        <v>-0.12622898826514431</v>
      </c>
      <c r="H18" s="355">
        <f>IF(ISNUMBER((Datos!M18-Datos!W18)/Datos!W18),(Datos!M18-Datos!W18)/Datos!W18," - ")</f>
        <v>-4.8426150121065378E-3</v>
      </c>
      <c r="I18" s="356">
        <f>IF(ISNUMBER((Tasas!C18-Datos!BE18)/Datos!BE18),(Tasas!C18-Datos!BE18)/Datos!BE18," - ")</f>
        <v>-0.1787885708372233</v>
      </c>
      <c r="J18" s="354">
        <f>IF(ISNUMBER((Tasas!D18-Datos!BF18)/Datos!BF18),(Tasas!D18-Datos!BF18)/Datos!BF18," - ")</f>
        <v>-6.4703901374347644E-2</v>
      </c>
      <c r="K18" s="357">
        <f>IF(ISNUMBER((Tasas!E18-Datos!BG18)/Datos!BG18),(Tasas!E18-Datos!BG18)/Datos!BG18," - ")</f>
        <v>-9.3246846201690381E-2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-8.8547304611387739E-2</v>
      </c>
      <c r="E19" s="362">
        <f>IF(ISNUMBER(
   IF(J_V="SI",(Datos!J19-Datos!T19)/Datos!T19,(Datos!J19+Datos!Z19-(Datos!T19+Datos!AH19))/(Datos!T19+Datos!AH19))
     ),IF(J_V="SI",(Datos!J19-Datos!T19)/Datos!T19,(Datos!J19+Datos!Z19-(Datos!T19+Datos!AH19))/(Datos!T19+Datos!AH19))," - ")</f>
        <v>-0.13415820937022105</v>
      </c>
      <c r="F19" s="362">
        <f>IF(ISNUMBER(
   IF(J_V="SI",(Datos!K19-Datos!U19)/Datos!U19,(Datos!K19+Datos!AA19-(Datos!U19+Datos!AI19))/(Datos!U19+Datos!AI19))
     ),IF(J_V="SI",(Datos!K19-Datos!U19)/Datos!U19,(Datos!K19+Datos!AA19-(Datos!U19+Datos!AI19))/(Datos!U19+Datos!AI19))," - ")</f>
        <v>-6.0543414057885412E-3</v>
      </c>
      <c r="G19" s="363">
        <f>IF(ISNUMBER(
   IF(J_V="SI",(Datos!L19-Datos!V19)/Datos!V19,(Datos!L19+Datos!AB19-(Datos!V19+Datos!AJ19))/(Datos!V19+Datos!AJ19))
     ),IF(J_V="SI",(Datos!L19-Datos!V19)/Datos!V19,(Datos!L19+Datos!AB19-(Datos!V19+Datos!AJ19))/(Datos!V19+Datos!AJ19))," - ")</f>
        <v>-0.18576748034753826</v>
      </c>
      <c r="H19" s="364">
        <f>IF(ISNUMBER((Datos!M19-Datos!W19)/Datos!W19),(Datos!M19-Datos!W19)/Datos!W19," - ")</f>
        <v>-8.9195979899497485E-2</v>
      </c>
      <c r="I19" s="361">
        <f>IF(ISNUMBER((Tasas!C19-Datos!BE19)/Datos!BE19),(Tasas!C19-Datos!BE19)/Datos!BE19," - ")</f>
        <v>-0.18080781115934164</v>
      </c>
      <c r="J19" s="362">
        <f>IF(ISNUMBER((Tasas!D19-Datos!BF19)/Datos!BF19),(Tasas!D19-Datos!BF19)/Datos!BF19," - ")</f>
        <v>-0.14034633552861905</v>
      </c>
      <c r="K19" s="363">
        <f>IF(ISNUMBER((Tasas!E19-Datos!BG19)/Datos!BG19),(Tasas!E19-Datos!BG19)/Datos!BG19," - ")</f>
        <v>-0.10308415880960886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8.1257182168997202E-2</v>
      </c>
      <c r="E21" s="277">
        <f t="shared" si="1"/>
        <v>5.3651262661907832E-2</v>
      </c>
      <c r="F21" s="277">
        <f t="shared" si="1"/>
        <v>0.13431082305153894</v>
      </c>
      <c r="G21" s="278">
        <f t="shared" si="1"/>
        <v>0.15027016420453265</v>
      </c>
      <c r="H21" s="284">
        <f t="shared" si="1"/>
        <v>0.18264867664639553</v>
      </c>
      <c r="I21" s="276">
        <f t="shared" si="1"/>
        <v>0.15914108291046652</v>
      </c>
      <c r="J21" s="277">
        <f t="shared" si="1"/>
        <v>0.28937854088323178</v>
      </c>
      <c r="K21" s="278">
        <f t="shared" si="1"/>
        <v>0.1251970919365451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r9GSmnLjkmKbRZVZYyZzCPb0QdKBB4Rcvbyk3Lix0qMr9bvUYRAjXv7QPDuVwdfYA8nPp1g4Ql5NU/RLIps+A==" saltValue="KwaMAudfSpSDGelsCgqq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